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85" tabRatio="500" firstSheet="12" activeTab="15"/>
  </bookViews>
  <sheets>
    <sheet name="estimativa de custos lote 1" sheetId="1" state="hidden" r:id="rId1"/>
    <sheet name="estimativa de custos lote 2" sheetId="2" state="hidden" r:id="rId2"/>
    <sheet name="rateio lote 1 adm local e bdi" sheetId="3" state="hidden" r:id="rId3"/>
    <sheet name="rateio lote 2 adm local e bdi" sheetId="4" state="hidden" r:id="rId4"/>
    <sheet name="veículo passeio" sheetId="5" state="hidden" r:id="rId5"/>
    <sheet name="insumos" sheetId="6" state="hidden" r:id="rId6"/>
    <sheet name="demonstrativo BDI" sheetId="7" state="hidden" r:id="rId7"/>
    <sheet name="RESUMO" sheetId="8" r:id="rId8"/>
    <sheet name="ORÇAMENTO BÁSICO" sheetId="9" r:id="rId9"/>
    <sheet name="MEMORIA DE CALCULO" sheetId="10" r:id="rId10"/>
    <sheet name="CRONOGRAMA" sheetId="11" r:id="rId11"/>
    <sheet name="CURVA ABC" sheetId="12" r:id="rId12"/>
    <sheet name="COMP 001" sheetId="13" r:id="rId13"/>
    <sheet name="BDI" sheetId="14" r:id="rId14"/>
    <sheet name="INVENTÁRIO RUAS" sheetId="15" r:id="rId15"/>
    <sheet name="MODELO SEM PREÇO" sheetId="16" r:id="rId16"/>
  </sheets>
  <externalReferences>
    <externalReference r:id="rId19"/>
    <externalReference r:id="rId20"/>
  </externalReferences>
  <definedNames>
    <definedName name="_xlnm.Print_Area" localSheetId="0">'estimativa de custos lote 1'!$A$1:$I$93</definedName>
    <definedName name="_xlnm.Print_Area" localSheetId="1">'estimativa de custos lote 2'!$A$1:$I$93</definedName>
    <definedName name="_xlnm.Print_Area" localSheetId="4">'veículo passeio'!$A$1:$H$98</definedName>
    <definedName name="_xlnm.Print_Area" localSheetId="5">'insumos'!$A$1:$E$38</definedName>
    <definedName name="_xlnm.Print_Titles" localSheetId="5">'insumos'!$21:$21</definedName>
    <definedName name="_xlnm.Print_Area" localSheetId="6">'demonstrativo BDI'!$A$1:$D$25</definedName>
    <definedName name="_xlnm.Print_Area" localSheetId="7">'RESUMO'!$A$1:$F$32</definedName>
    <definedName name="_xlnm.Print_Area" localSheetId="8">'ORÇAMENTO BÁSICO'!$A$1:$H$87</definedName>
    <definedName name="_xlnm.Print_Titles" localSheetId="8">'ORÇAMENTO BÁSICO'!$1:$10</definedName>
    <definedName name="_xlnm.Print_Area" localSheetId="9">'MEMORIA DE CALCULO'!$A$1:$L$80</definedName>
    <definedName name="_xlnm.Print_Titles" localSheetId="9">'MEMORIA DE CALCULO'!$1:$8</definedName>
    <definedName name="_xlnm.Print_Area" localSheetId="10">'CRONOGRAMA'!$A$1:$O$21</definedName>
    <definedName name="Excel_BuiltIn__FilterDatabase" localSheetId="11">'CURVA ABC'!$A$13:$I$69</definedName>
    <definedName name="_xlnm.Print_Area" localSheetId="11">'CURVA ABC'!$A$1:$J$73</definedName>
    <definedName name="_xlnm.Print_Titles" localSheetId="11">'CURVA ABC'!$1:$9</definedName>
    <definedName name="_xlnm.Print_Area" localSheetId="12">'COMP 001'!$A$1:$G$14</definedName>
    <definedName name="_xlnm.Print_Area" localSheetId="13">'BDI'!$A$1:$D$20</definedName>
    <definedName name="_xlnm.Print_Area" localSheetId="14">'INVENTÁRIO RUAS'!$A$1:$H$35</definedName>
    <definedName name="_xlnm.Print_Area" localSheetId="15">'MODELO SEM PREÇO'!$A$1:$H$88</definedName>
  </definedNames>
  <calcPr fullCalcOnLoad="1"/>
</workbook>
</file>

<file path=xl/sharedStrings.xml><?xml version="1.0" encoding="utf-8"?>
<sst xmlns="http://schemas.openxmlformats.org/spreadsheetml/2006/main" count="2642" uniqueCount="760">
  <si>
    <t>ESTIMATIVA DE CUSTOS - LOTE 1</t>
  </si>
  <si>
    <t>Data: MARÇO.2013</t>
  </si>
  <si>
    <t>ITEM</t>
  </si>
  <si>
    <t>CÓDIGO EMLURB</t>
  </si>
  <si>
    <t>DISCRIMINAÇÃO</t>
  </si>
  <si>
    <t>UNIDADE</t>
  </si>
  <si>
    <t>QUANTIDADE</t>
  </si>
  <si>
    <t>CUSTO UNITÁRIO (R$)</t>
  </si>
  <si>
    <t>TOTAL (R$)</t>
  </si>
  <si>
    <t>1. Serviços Preliminares</t>
  </si>
  <si>
    <t>1.1</t>
  </si>
  <si>
    <t>03.01.070</t>
  </si>
  <si>
    <t>Demolição de Revestimento de Piso em Cimentado Inclusive Lastro de Concreto</t>
  </si>
  <si>
    <t xml:space="preserve"> m² </t>
  </si>
  <si>
    <t>1.2</t>
  </si>
  <si>
    <t>03.01.160</t>
  </si>
  <si>
    <t>Demolição de Alvenaria de 1 Vez com Preparo para Remoção</t>
  </si>
  <si>
    <t>1.3</t>
  </si>
  <si>
    <t>03.01.200</t>
  </si>
  <si>
    <t>Demolição Manual de Concreto Simples</t>
  </si>
  <si>
    <t xml:space="preserve"> m³ </t>
  </si>
  <si>
    <t>1.4</t>
  </si>
  <si>
    <t>03.01.210</t>
  </si>
  <si>
    <t>Demolição Manual de Concreto Armado</t>
  </si>
  <si>
    <t>1.5</t>
  </si>
  <si>
    <t>03.01.220</t>
  </si>
  <si>
    <t>Demolição Manual de Pavimentação Asfáltica</t>
  </si>
  <si>
    <t>1.6</t>
  </si>
  <si>
    <t>03.01.222</t>
  </si>
  <si>
    <t>Demolição de Pavimentação Asfáltica com Utilização de Martelete Pneumático</t>
  </si>
  <si>
    <t>1.7</t>
  </si>
  <si>
    <t>03.01.230</t>
  </si>
  <si>
    <t>Demolição de Pavimentação em Paralelepípedo Sobre Areia</t>
  </si>
  <si>
    <t>1.8</t>
  </si>
  <si>
    <t>03.01.260</t>
  </si>
  <si>
    <t>Demolição de Meio-Fio</t>
  </si>
  <si>
    <t xml:space="preserve"> m </t>
  </si>
  <si>
    <t>1.9</t>
  </si>
  <si>
    <t>03.01.270</t>
  </si>
  <si>
    <t>Demolição de Linha d'Água</t>
  </si>
  <si>
    <t>1.10</t>
  </si>
  <si>
    <t>02.01.200</t>
  </si>
  <si>
    <t>Serviço Topográfico de Pequeno Porte (Preço Mínimo), Diária de Uma Equipe com Topógrafo, Quatro Auxiliares, Teodolito, Nível Ótico, etc</t>
  </si>
  <si>
    <t xml:space="preserve"> un </t>
  </si>
  <si>
    <t>1.11</t>
  </si>
  <si>
    <t>21.09.300</t>
  </si>
  <si>
    <t>Limpeza Manual de Canal ou Canaleta, Aberta ou com Tampa Móvel, Profundidade até 1,50m em Locais Próximos de Morros, Planícies ou Alagados, com Transporte Material Retirado dm Carro de Mão até 100m distancia e Carga em Caçamba Estacionaria e/ou Caminhão Basculante, Inclusive Mão de Obra com Insalubridade, Equipamento e Fardamento</t>
  </si>
  <si>
    <t>1.12</t>
  </si>
  <si>
    <t>21.12.020</t>
  </si>
  <si>
    <t>Arrancamento de Tubos de Galeria de Diâmetro 0,30m, Inclusive Escavação</t>
  </si>
  <si>
    <t>1.13</t>
  </si>
  <si>
    <t>21.12.030</t>
  </si>
  <si>
    <t>1.14</t>
  </si>
  <si>
    <t>21.12.050</t>
  </si>
  <si>
    <t>Arrancamento de Tubos de Galeria de Diâmetro 0,60m, Inclusive Escavação</t>
  </si>
  <si>
    <t>1.15</t>
  </si>
  <si>
    <t>21.12.070</t>
  </si>
  <si>
    <t>Arrancamento de Tubos de Galeria de Diâmetro 0,80m, Inclusive Escavação</t>
  </si>
  <si>
    <t>1.16</t>
  </si>
  <si>
    <t>21.12.090</t>
  </si>
  <si>
    <t>Arrancamento de Tubos de Galeria de Diâmetro 1,00m, Inclusive Escavação</t>
  </si>
  <si>
    <t>Subtotal 1. Serviços Preliminares</t>
  </si>
  <si>
    <t>2. Instalações Provisórias</t>
  </si>
  <si>
    <t>2.1</t>
  </si>
  <si>
    <t>03.03.045</t>
  </si>
  <si>
    <t>Fornecimento e Montagem de Tela de Sinalização Laranja (H=1,2m) Fixada em Montantes de Ferro de ½” ou em Barrotes de Madeira 3/3” Colocados sobre Base se Concreto Traço 1:4:8, Espaçados a Cada 2m, Inclusive Posterior Retirada e Reaproveitamento</t>
  </si>
  <si>
    <t>2.2</t>
  </si>
  <si>
    <t>03.03.055</t>
  </si>
  <si>
    <t>Fornecimento de Cavalete de Obra (Modelo AV-42/2000)</t>
  </si>
  <si>
    <t>2.3</t>
  </si>
  <si>
    <t>03.03.070</t>
  </si>
  <si>
    <t>Instalação de Gambiarra para Sinalização com 20m, Incluindo Lâmpada, Bocal e Balde a Cada 2m</t>
  </si>
  <si>
    <t>2.4</t>
  </si>
  <si>
    <t>03.03.090</t>
  </si>
  <si>
    <t>Fornecimento e Assentamento de Placa de Obra (Modelo AV-43/200)</t>
  </si>
  <si>
    <t>Subtotal 2.Instalações Provisórias</t>
  </si>
  <si>
    <t>3. Trabalhos em Terra</t>
  </si>
  <si>
    <t>3.1</t>
  </si>
  <si>
    <t>05.01.010</t>
  </si>
  <si>
    <t>Escavação Manual em Terra até 1,50m de Profundidade, Sem Escoramento</t>
  </si>
  <si>
    <t>3.2</t>
  </si>
  <si>
    <t>05.01.100</t>
  </si>
  <si>
    <t>Escavação Mecânica de Vala em Material de Primeira Categoria até 3,0m de Profundidade, Sem Escoramento.</t>
  </si>
  <si>
    <t>3.3</t>
  </si>
  <si>
    <t>04.02.120</t>
  </si>
  <si>
    <t>Transporte com Carro de Mão de Areia, Entulho ou Terra até 30m</t>
  </si>
  <si>
    <t>3.4</t>
  </si>
  <si>
    <t>05.02.100</t>
  </si>
  <si>
    <t>Compactação Mecânica de Aterro a 100 por Cento do Proctor Normal, Medido na Seção, Inclusive Espalhamento, Umedecimento e Homogeneização</t>
  </si>
  <si>
    <t>3.5</t>
  </si>
  <si>
    <t>04.03.010</t>
  </si>
  <si>
    <t>Remoção de Material de Primeira Categoria em Caminhão Carroceria, D.M.T. 6km, Inclusive Carga e Descarga Manuais</t>
  </si>
  <si>
    <t>3.6</t>
  </si>
  <si>
    <t>04.03.020</t>
  </si>
  <si>
    <t>Remoção de Material de Primeira Categoria em Caminhão Carroceria, D.M.T. 12km, Inclusive Carga e Descarga Manuais</t>
  </si>
  <si>
    <t>3.7</t>
  </si>
  <si>
    <t>04.04.110</t>
  </si>
  <si>
    <t>Fornecimento e Espalhamento de Areia Fina, Inclusive Carga, Descarga e Transporte (Posto Obra)</t>
  </si>
  <si>
    <t>3.8</t>
  </si>
  <si>
    <t>04.04.130</t>
  </si>
  <si>
    <t>Fornecimento e Espalhamento de Pó de Pedra Inclusive Carga, Descarga e Transporte (Posto Obra)</t>
  </si>
  <si>
    <t>3.9</t>
  </si>
  <si>
    <t>05.02.200</t>
  </si>
  <si>
    <t>Execução de Base com Brita Graduada (Corrida Abrangendo Espalhamento e Compactação da Mistura em Camadas Sucessivas com 15cm de Espessura Inclusive, Fornecimento do Material (Posto Obra)</t>
  </si>
  <si>
    <t>Subtotal 3. Trabalhos em Terra</t>
  </si>
  <si>
    <t>4. Concretos e Alvenarias</t>
  </si>
  <si>
    <t>4.1</t>
  </si>
  <si>
    <t>06.03.010</t>
  </si>
  <si>
    <t>Concreto Não Estrutural (1 4 8) para Lastros de Pisos e Fundações, Lançado e Adensado</t>
  </si>
  <si>
    <t>4.2</t>
  </si>
  <si>
    <t>06.03.142</t>
  </si>
  <si>
    <t>Concreto Armado Pronto, Fck 20 MPA, Condição B (NBR-12655), Lançado em Qualquer Tipo de Estrutura e Adensado Inclusive Forma, Escoramento e Ferragem</t>
  </si>
  <si>
    <t>4.3</t>
  </si>
  <si>
    <t>07.01.035</t>
  </si>
  <si>
    <t>Alvenaria de Tijolos Maciços Prensados, Assentados e Rejuntados com Argamassa de Cimento e Areia no Traço 1:6 – 1/2 Vez</t>
  </si>
  <si>
    <t>4.4</t>
  </si>
  <si>
    <t>07.01.055</t>
  </si>
  <si>
    <t>Alvenaria de Tijolos Maciços Prensados, Assentados e Rejuntados com Argamassa de Cimento e Areia no Traço 1:6 – 1 Vez</t>
  </si>
  <si>
    <t>4.5</t>
  </si>
  <si>
    <t>11.02.010</t>
  </si>
  <si>
    <t>Chapisco com Argamassa de Cimento e Areia no Traço 1:3</t>
  </si>
  <si>
    <t>4.6</t>
  </si>
  <si>
    <t>11.05.010</t>
  </si>
  <si>
    <t>Revestimento com Argamassa de Cimento e Areia no Traço 1:3, com 2,0cm de Espessura</t>
  </si>
  <si>
    <t>Subtotal 4. Concretos e Alvenarias</t>
  </si>
  <si>
    <t>5. Revestimentos</t>
  </si>
  <si>
    <t>5.1</t>
  </si>
  <si>
    <t>13.03.010</t>
  </si>
  <si>
    <t>Piso Cimentado com Argamassa de Cimento e Areia no Traço 1:3, com 2,0cm de Espessura, e com Acabamento Liso</t>
  </si>
  <si>
    <t>5.2</t>
  </si>
  <si>
    <t>20.07.080</t>
  </si>
  <si>
    <t>Reposição de Pavimento com Paralelepípedos Graníticos (Tapa Buraco) Assentados sobre Mistura de Cimento e Areia no Traço 1:6 com 6cm de Espessura e Rejuntados com Argamassa de Cimento e Areia no Traço 1:2 (Área Total Por Rua Inferior ou Igual a 30m²)</t>
  </si>
  <si>
    <t>5.3</t>
  </si>
  <si>
    <t>20.09.050</t>
  </si>
  <si>
    <t>Reposição de Meio-Fio de Pedra Granítica ou de Concreto, Rejuntados com Argamassa de Cimento e Areia no Traço 1:2</t>
  </si>
  <si>
    <t>5.4</t>
  </si>
  <si>
    <t>20.09.060</t>
  </si>
  <si>
    <t>Reposição de Linha d’Água de Paralelepípedos Graníticos Assentados sobre Mistura de Cimento e Areia no Traço 1:6 com 6cm de Espessura e Rejuntados com Argamassa de Cimento e Areia 1:2, Inclusive Base de Concreto 1:4:8 com 10cm de Espessura</t>
  </si>
  <si>
    <t>5.5</t>
  </si>
  <si>
    <t>20.05.025</t>
  </si>
  <si>
    <t>Fabricação de Pré-Misturado a Frio Fino para Camada de Rolamento com 7,5% de Emulsão (Produção Compactada)</t>
  </si>
  <si>
    <t>5.6</t>
  </si>
  <si>
    <t>20.05.050</t>
  </si>
  <si>
    <t>Transporte de Pré-Misturado a Frio Fino ou Grosso, no Caso de Reposição (Caminhão Acompanhando a Turma), D.M.T. 24 Km</t>
  </si>
  <si>
    <t>5.7</t>
  </si>
  <si>
    <t>20.05.030</t>
  </si>
  <si>
    <t>Carga ou Descarga Manual Pré-Misturado a Frio Fino ou Grosso (Curado)</t>
  </si>
  <si>
    <t>5.8</t>
  </si>
  <si>
    <t>20.04.040</t>
  </si>
  <si>
    <t>Pintura Asfáltica com Aplicação Manual, Emulsão Catiônica RR-1C, Taxa de 0,5l/m²</t>
  </si>
  <si>
    <t>5.9</t>
  </si>
  <si>
    <t>20.05.070</t>
  </si>
  <si>
    <t>Espalhamento e Compactação de Pré-Misturado a Frio Fino ou Grosso</t>
  </si>
  <si>
    <t>Subtotal 5. Revestimentos</t>
  </si>
  <si>
    <t>6. Drenagem</t>
  </si>
  <si>
    <t>6.1</t>
  </si>
  <si>
    <t>21.01.030</t>
  </si>
  <si>
    <t>Grade de Concreto de 0,30 X 0,95m, Inclusive Assentamento</t>
  </si>
  <si>
    <t>6.2</t>
  </si>
  <si>
    <t>21.01.060</t>
  </si>
  <si>
    <t>Tampão (Tampa e Caixilho) de Concreto com 0,60m de Diâmetro, Inclusive Assentamento (Logomarca PMJG)</t>
  </si>
  <si>
    <t>6.3</t>
  </si>
  <si>
    <t>21.01.070</t>
  </si>
  <si>
    <t>Tampa de Concreto para Tampão com 0,60m de Diâmetro, Inclusive Assentamento (Logomarca PMJG)</t>
  </si>
  <si>
    <t>6.4</t>
  </si>
  <si>
    <t>21.02.010</t>
  </si>
  <si>
    <t>Construção de Caixa Coletora, Tipo "Com Grade", em Alvenaria de 1 Vez – Tijolos Maciços Prensados (Ref. DR-01-Obras Recife) nas Dimensões Internas de 0,25 x 0,85 x 1,00m, Inclusive Escavação, Reaterro Compactado e Remoção do Material Excedente (Sem a Grade)</t>
  </si>
  <si>
    <t>6.5</t>
  </si>
  <si>
    <t>21.02.020</t>
  </si>
  <si>
    <t>Construção de Caixa Coletora, Tipo "Com Grade", em Alvenaria de 1 Vez – Tijolos Maciços Prensados (Ref. DR-03-Obras Recife) nas Dimensões Internas de 0,25 x 0,90 x 1,00m, Inclusive Escavação, Reaterro Compactado e Remoção do Material Excedente (Sem a Grade)</t>
  </si>
  <si>
    <t>6.6</t>
  </si>
  <si>
    <t>21.02.030</t>
  </si>
  <si>
    <t>Construção de Caixa Coletora, Tipo "Com Grade", em Alvenaria de 1 Vez – Tijolos Maciços Prensados (Ref. DR-06-Obras Recife) nas Dimensões Internas de 0,80 x 0,80 x 0,90m, Inclusive Escavação, Reaterro Compactado e Remoção do Material Excedente (Com Sobretampa)</t>
  </si>
  <si>
    <t>6.7</t>
  </si>
  <si>
    <t>21.03.060</t>
  </si>
  <si>
    <t>Construção de Poço de Visita em Alvenaria de 1 Vez, Tijolos Maciços Prensados, (Ref. DR-05-Obras Recife) nas Dimensões Internas 1,0 x 1,0 x 1,5m, Inclusive Escavação, Reaterro Compactado e Remoção do Material Excedente (Sem o Tampão)</t>
  </si>
  <si>
    <t>6.8</t>
  </si>
  <si>
    <t>21.03.070</t>
  </si>
  <si>
    <t>Construção de Poço de Visita em Alvenaria de 1 Vez, Tijolos Maciços Prensados, (Ref. DR-05-Obras Recife) nas Dimensões Internas 1,2 x 1,2 x 1,5m, Inclusive Escavação, Reaterro Compactado e Remoção do Material Excedente (Sem o Tampão)</t>
  </si>
  <si>
    <t>6.9</t>
  </si>
  <si>
    <t>21.03.080</t>
  </si>
  <si>
    <t>Construção de Poço de Visita em Alvenaria de 1 Vez, Tijolos Maciços Prensados, (Ref. DR-05-Obras Recife) nas Dimensões Internas 1,5 x 1,5 x 2,0m, Inclusive Escavação, Reaterro Compactado e Remoção do Material Excedente (Sem o Tampão)</t>
  </si>
  <si>
    <t>6.10</t>
  </si>
  <si>
    <t>21.06.050</t>
  </si>
  <si>
    <t>Galeria de Tubos de Concreto C2 – 0,30m de Diâmetro, Inclusive Escavação Manual das Valas até 1,50m de Profundidade, Reaterro Compactado, Remoção do Material Excedente e Ainda Fornecimento e Assentamento dos Tubos</t>
  </si>
  <si>
    <t>6.11</t>
  </si>
  <si>
    <t>21.06.090</t>
  </si>
  <si>
    <t>Galeria de Tubos de Concreto C2 – 0,40m de Diâmetro, Inclusive Escavação Manual das Valas até 1,50m de Profundidade, Reaterro Compactado, Remoção do Material Excedente e Ainda Fornecimento e Assentamento dos Tubos</t>
  </si>
  <si>
    <t>6.12</t>
  </si>
  <si>
    <t>21.06.170</t>
  </si>
  <si>
    <t>Galeria de Tubos de Concreto C2 – 0,60m de Diâmetro, Inclusive Escavação Manual das Valas até 1,50m de Profundidade, Reaterro Compactado, Remoção do Material Excedente e Ainda Fornecimento e Assentamento dos Tubos</t>
  </si>
  <si>
    <t>6.13</t>
  </si>
  <si>
    <t>21.06.370</t>
  </si>
  <si>
    <t>Galeria de Tubos de Concreto CA1 – 0,60m de Diâmetro, Inclusive Escavação Manual das Valas até 1,50m de Profundidade, Reaterro Compactado, Remoção do Material Excedente e Ainda Fornecimento e Assentamento dos Tubos</t>
  </si>
  <si>
    <t>6.14</t>
  </si>
  <si>
    <t>21.06.450</t>
  </si>
  <si>
    <t>Galeria de Tubos de Concreto CA1 – 0,80m de Diâmetro, Inclusive Escavação Manual das Valas até 1,50m de Profundidade, Reaterro Compactado, Remoção do Material Excedente e Ainda Fornecimento e Assentamento dos Tubos</t>
  </si>
  <si>
    <t>6.15</t>
  </si>
  <si>
    <t>21.06.530</t>
  </si>
  <si>
    <t>Galeria de Tubos de Concreto CA1 – 1,00m de Diâmetro, Inclusive Escavação Manual das Valas até 2,00m de Profundidade, Reaterro Compactado, Remoção do Material Excedente e Ainda Fornecimento e Assentamento dos Tubos</t>
  </si>
  <si>
    <t>6.16</t>
  </si>
  <si>
    <t>21.11.010</t>
  </si>
  <si>
    <t>Colocação de Calha de Concreto de 0,30m de Diâmetro, Incluindo Corte do Tubo, Escavação até 1,50m de Profundidade, Reaterro Compactado e Fornecimento da Mesma</t>
  </si>
  <si>
    <t>6.17</t>
  </si>
  <si>
    <t>21.11.030</t>
  </si>
  <si>
    <t>Colocação de Calha de Concreto de 0,40m de Diâmetro, Incluindo Corte do Tubo, Escavação até 1,50m de Profundidade, Reaterro Compactado e Fornecimento da Mesma</t>
  </si>
  <si>
    <t>6.18</t>
  </si>
  <si>
    <t>21.11.050</t>
  </si>
  <si>
    <t>Colocação de Calha de Concreto de 0,60m de Diâmetro, Incluindo Corte do Tubo, Escavação até 1,50m de Profundidade, Reaterro Compactado e Fornecimento da Mesma</t>
  </si>
  <si>
    <t>6.19</t>
  </si>
  <si>
    <t> 21.02.030</t>
  </si>
  <si>
    <t>Reconstrução de Caixa Coletora, Tipo com Gaveta, em Alvenaria de 1 Vez de Tijolos Maciços Prensados, nas Dimensões 0,80 x 0,80 x 1,50m, Inclusive Limpeza, Reaterro Compactado e Remoção do Material Excedente (Sem A Tampa)</t>
  </si>
  <si>
    <t>6.20</t>
  </si>
  <si>
    <t>21.03.060 </t>
  </si>
  <si>
    <t>Reconstrução de Poço de Visita, Tipo com Gaveta, em Alvenaria de 1 Vez de Tijolos Maciços Prensados, nas Dimensões 1,00 x 1,00 x 1,50m, Inclusive Limpeza, Reaterro Compactado e Remoção do Material Excedente (Sem A Tampa)</t>
  </si>
  <si>
    <t>6.21</t>
  </si>
  <si>
    <t> 21.03.070</t>
  </si>
  <si>
    <t>Reconstrução de Poço de Visita, Tipo com Gaveta, em Alvenaria de 1 Vez de Tijolos Maciços Prensados, nas Dimensões 1,20 x 1,20 x 1,50m, Inclusive Limpeza, Reaterro Compactado e Remoção do Material Excedente (Sem A Tampa)</t>
  </si>
  <si>
    <t>6.22</t>
  </si>
  <si>
    <t>19.03.040</t>
  </si>
  <si>
    <t>Fornecimento e Assentamento de Tubos de PVC Rígido Soldáveis, Diâmetro 100mm, para Colunas de Esgoto, Ventilação ou Águas Pluviais</t>
  </si>
  <si>
    <t>6.23</t>
  </si>
  <si>
    <t>Fornecimento e Assentamento de Tubos de PVC Rígido Soldáveis, Diâmetro 150mm</t>
  </si>
  <si>
    <t>6.24</t>
  </si>
  <si>
    <t>Fornecimento e Assentamento de Tubos de PVC Rígido Soldáveis, Diâmetro 200mm</t>
  </si>
  <si>
    <t>Subtotal 6. Drenagem</t>
  </si>
  <si>
    <t>7. Locação de Equipamento</t>
  </si>
  <si>
    <t>7.1</t>
  </si>
  <si>
    <t>01.01.022</t>
  </si>
  <si>
    <r>
      <rPr>
        <sz val="9"/>
        <color indexed="8"/>
        <rFont val="Verdana"/>
        <family val="2"/>
      </rPr>
      <t>Caminhão Poliguindaste com Caçamba de 5,0m</t>
    </r>
    <r>
      <rPr>
        <vertAlign val="superscript"/>
        <sz val="9"/>
        <color indexed="8"/>
        <rFont val="Verdana"/>
        <family val="2"/>
      </rPr>
      <t>3</t>
    </r>
    <r>
      <rPr>
        <sz val="9"/>
        <color indexed="8"/>
        <rFont val="Verdana"/>
        <family val="2"/>
      </rPr>
      <t>, Potência 162HP, com Mão de Obra do Operador e Combustível</t>
    </r>
  </si>
  <si>
    <t xml:space="preserve"> h </t>
  </si>
  <si>
    <t>7.2</t>
  </si>
  <si>
    <t>01.02.030</t>
  </si>
  <si>
    <t>Retroescavadeira Sobre Pneus – Potência 82 HP – com Mão de Obra do Operador e Combustível (Serviço Diurno)</t>
  </si>
  <si>
    <t>7.3</t>
  </si>
  <si>
    <t>01.09.080</t>
  </si>
  <si>
    <t>Bomba de Drenagem Submersa com Motor à Gasolina, Inclusive 10m de Mangote de 2ª – Potência 3,5 HP com Combustível (Serviço Diurno ou Noturno)</t>
  </si>
  <si>
    <t>Subtotal 7. Locação de Equipamento</t>
  </si>
  <si>
    <t>TOTAL</t>
  </si>
  <si>
    <t>DEMONSTRATIVO DE CÁLCULO DO CUSTO UNITÁRIO FINAL (CUSTO DIRETO + BDI + ADM LOCAL) LOTE 1</t>
  </si>
  <si>
    <t>Data: MARÇO.2103</t>
  </si>
  <si>
    <t>CUSTO DIRETO - R$</t>
  </si>
  <si>
    <t>CUSTO INDIRETO - R$</t>
  </si>
  <si>
    <t>TOTAL - R$</t>
  </si>
  <si>
    <t xml:space="preserve">UNITÁRIO </t>
  </si>
  <si>
    <t>BDI - 22,499%</t>
  </si>
  <si>
    <t>RATEIO</t>
  </si>
  <si>
    <t>CUSTO UNITÁRIO</t>
  </si>
  <si>
    <t>1. SERVIÇOS PRELIMINARES</t>
  </si>
  <si>
    <t>Demolição de Meio-Fio.</t>
  </si>
  <si>
    <t>SUBTOTAL 1. SERVIÇOS PRELIMINARES</t>
  </si>
  <si>
    <t>2. INSTALAÇÕES PROVISÓRIAS</t>
  </si>
  <si>
    <t>SUBTOTAL 2. INSTALAÇÕES PROVISÓRIAS</t>
  </si>
  <si>
    <t>3. TRABALHOS EM TERRA</t>
  </si>
  <si>
    <t>SUBTOTAL 3. TRABALHOS EM TERRA</t>
  </si>
  <si>
    <t>4. CONCRETOS E ALVENARIAS</t>
  </si>
  <si>
    <t>SUBTOTAL 4. CONCRETOS E ALVENARIAS</t>
  </si>
  <si>
    <t>5. REVESTIMENTOS</t>
  </si>
  <si>
    <t>SUBTOTAL 5. REVESTIMENTOS</t>
  </si>
  <si>
    <t>6. DRENAGEM</t>
  </si>
  <si>
    <t>SUBTOTAL 6. DRENAGEM</t>
  </si>
  <si>
    <t>7. LOCAÇÃO DE EQUIPAMENTO</t>
  </si>
  <si>
    <r>
      <rPr>
        <sz val="11"/>
        <color indexed="8"/>
        <rFont val="Cambria"/>
        <family val="1"/>
      </rPr>
      <t>Caminhão Poliguindaste com Caçamba de 5,0m</t>
    </r>
    <r>
      <rPr>
        <vertAlign val="superscript"/>
        <sz val="11"/>
        <color indexed="8"/>
        <rFont val="Cambria"/>
        <family val="1"/>
      </rPr>
      <t>3</t>
    </r>
    <r>
      <rPr>
        <sz val="11"/>
        <color indexed="8"/>
        <rFont val="Cambria"/>
        <family val="1"/>
      </rPr>
      <t>, Potência 162HP, com Mão de Obra do Operador e Combustível</t>
    </r>
  </si>
  <si>
    <t>SUBTOTAL 7. LOCAÇÃO DE EQUIPAMENTO</t>
  </si>
  <si>
    <t>TOTAL GERAL</t>
  </si>
  <si>
    <t>DEMONSTRATIVO CUSTO - VEÍCULO PASSEIO</t>
  </si>
  <si>
    <t>DESCRIÇÃO</t>
  </si>
  <si>
    <t>PREÇO UNITÁRIO (R$)</t>
  </si>
  <si>
    <t>Custo Operacional com Veículos e Equipamentos</t>
  </si>
  <si>
    <t>veículos</t>
  </si>
  <si>
    <t>Depreciação</t>
  </si>
  <si>
    <t>Remuneração de Capital</t>
  </si>
  <si>
    <t>TOTAL MÊS</t>
  </si>
  <si>
    <t>ÍNDICES</t>
  </si>
  <si>
    <t>Manutenção</t>
  </si>
  <si>
    <t>% p/vida útil</t>
  </si>
  <si>
    <t>Residual Chassi</t>
  </si>
  <si>
    <t>% de retorno</t>
  </si>
  <si>
    <t>Remuneração do Capital</t>
  </si>
  <si>
    <t>coeficiente</t>
  </si>
  <si>
    <t>Juros de Capital</t>
  </si>
  <si>
    <t>%</t>
  </si>
  <si>
    <t>Seguro Obrigatório</t>
  </si>
  <si>
    <t>taxa anual</t>
  </si>
  <si>
    <t>Licenciamentyo</t>
  </si>
  <si>
    <t>IPVA</t>
  </si>
  <si>
    <t>% do valor/ano</t>
  </si>
  <si>
    <t>Seguro Total</t>
  </si>
  <si>
    <t>UTILIZAÇÃO DO VÉICULO E EQUIPAMENTOS</t>
  </si>
  <si>
    <t>VEÍCULO/EQUIPAMENTO</t>
  </si>
  <si>
    <t>TURNO</t>
  </si>
  <si>
    <t>Diurno / Noturno</t>
  </si>
  <si>
    <t>CÁLCULO DO PERCURSO MENSAL</t>
  </si>
  <si>
    <t>Estimativa de Quilometragem Percorrida por Dia</t>
  </si>
  <si>
    <t>km/dia</t>
  </si>
  <si>
    <t>Período de Operação no Mês</t>
  </si>
  <si>
    <t>dias/mês</t>
  </si>
  <si>
    <t>Quantidade de Quilômetros Percorridos no Mês</t>
  </si>
  <si>
    <t>km/mês</t>
  </si>
  <si>
    <t>Vida Útil</t>
  </si>
  <si>
    <t>km</t>
  </si>
  <si>
    <t>1. CÁLCULO DO CUSTO MENSAL DE CONSUMO DE COMBUSTÍVEL</t>
  </si>
  <si>
    <t>Quilometragem Percorrida Mês</t>
  </si>
  <si>
    <t>Média de Consumo por Quilômetro de Percurso</t>
  </si>
  <si>
    <t>km/l</t>
  </si>
  <si>
    <t>Consumo Mensal de Combustível</t>
  </si>
  <si>
    <t>l</t>
  </si>
  <si>
    <t>Custo Médio do Combustível</t>
  </si>
  <si>
    <t>R$/l</t>
  </si>
  <si>
    <t>Custo Mensal de Consumo de Combustível</t>
  </si>
  <si>
    <t>R$/mês</t>
  </si>
  <si>
    <t>2. CÁLCULO DO CUSTO MENSAL DE MANUTENÇÃO</t>
  </si>
  <si>
    <t>Coeficiente de Manutenção</t>
  </si>
  <si>
    <t>Custo de Aquisição do Veículo</t>
  </si>
  <si>
    <t>R$</t>
  </si>
  <si>
    <t>mês</t>
  </si>
  <si>
    <t>Custo Mensal de Manutenção</t>
  </si>
  <si>
    <t>3. CÁLCULO DO CUSTO MENSAL DE LAVAGEM E LUBRIFICAÇÃO</t>
  </si>
  <si>
    <t>Lubrificação Motor (Volume de Troca = 7 l / Ciclo de Troca = 5.000 km)</t>
  </si>
  <si>
    <t>Lubrificação Transmissão (Volume de Troca = 2 l / Ciclo de Troca = 3.000 km)</t>
  </si>
  <si>
    <t>Lubrificação Hidráulico (Volume de Troca = 1 l / Ciclo de Troca = 3.000 km)</t>
  </si>
  <si>
    <t>Graxa (Volume de Troca = 1,8 kg / Ciclo de Troca = 3.000 km)</t>
  </si>
  <si>
    <t>Lavagem (Semanal)</t>
  </si>
  <si>
    <t>Troca dos Filtros (15% da Soma de Lubrificação e Graxa)</t>
  </si>
  <si>
    <t>Custo Mensal de Lavagem e Lubrificação</t>
  </si>
  <si>
    <t>4. CÁLCULO DO CUSTO MENSAL COM PNEUS</t>
  </si>
  <si>
    <t>Pneus por Veículo</t>
  </si>
  <si>
    <t>unid</t>
  </si>
  <si>
    <t>Custo Pneu</t>
  </si>
  <si>
    <t>Percurso Mensal</t>
  </si>
  <si>
    <t>Ciclo de Troca</t>
  </si>
  <si>
    <t>Custo Mensal com Pneus</t>
  </si>
  <si>
    <t>5. CÁLCULO DO CUSTO MENSAL COM LICENCIAMENTO DO VEÍCULO</t>
  </si>
  <si>
    <t>Licenciamento</t>
  </si>
  <si>
    <t>Custo Mensal com Licenciamento do Veículo</t>
  </si>
  <si>
    <t>6. CÁLCULO DO CUSTO MENSAL DE DEPRECIAÇÃO DO VEÍCULO = (K*D)/VU</t>
  </si>
  <si>
    <t>Custo de Aquisição do Veículo com o Equipamento (K)</t>
  </si>
  <si>
    <t>Coeficiente de Depreciação - D = 100 - RESIDUAL CHASSI</t>
  </si>
  <si>
    <t>Vida Útil do Veículo - VU</t>
  </si>
  <si>
    <t>Custo Mensal de Depreciação do Veículo</t>
  </si>
  <si>
    <t>7. CÁLCULO DO CUSTO MENSAL COM REMUNERAÇÃO DO CAPITAL = CA*C</t>
  </si>
  <si>
    <t>Custo de Aquisição do Veículo com o Equipamento - CA</t>
  </si>
  <si>
    <t>Vida Útil do Veículo - N</t>
  </si>
  <si>
    <t>ano</t>
  </si>
  <si>
    <t>Residual - K</t>
  </si>
  <si>
    <t>Taxa Anual de Remuneração do Capital - J</t>
  </si>
  <si>
    <t>%/ano</t>
  </si>
  <si>
    <t>Coeficiente de Remuneração - C = [(2+(N-1)*(K+1))/24N]*J</t>
  </si>
  <si>
    <t>Custo Mensal com Remuneração do Capital</t>
  </si>
  <si>
    <t>CUSTO OPERACIONAL COM VEÍCULOS E EQUIPAMENTOS</t>
  </si>
  <si>
    <t>CUSTO OPERACIONAL COM VEÍCULOS E EQUIPAMENTOS - RODAGEM</t>
  </si>
  <si>
    <t>Custo Mennsal de Consumo de Combustível</t>
  </si>
  <si>
    <t>SOMA CUSTO OPERACIONAL COM VEÍCULOS E EQUIPAMENTOS - RODAGEM</t>
  </si>
  <si>
    <t>CUSTO OPERACIONAL COM VEÍCULOS E EQUIPAMENTOS - OUTROS</t>
  </si>
  <si>
    <t>Sistema de Rastreamento</t>
  </si>
  <si>
    <t>SOMA CUSTO OPERACIONAL COM VEÍCULOS E EQUIPAMENTOS - OUTROS</t>
  </si>
  <si>
    <t>RESERVA TÉCNICA</t>
  </si>
  <si>
    <t>Reserva Técnica (10% Custo Operacional com Veículos e Equipamentos -Outros)</t>
  </si>
  <si>
    <t>SOMA RESERVA TÉCNICA</t>
  </si>
  <si>
    <t>CUSTO OPERACIONAL COM  VEÍCULOS E EQUIPAMENTOS</t>
  </si>
  <si>
    <t>INSUMOS</t>
  </si>
  <si>
    <t>1. PESSOAL</t>
  </si>
  <si>
    <t>VALOR - R$</t>
  </si>
  <si>
    <t>1.1. REMUNERAÇÕES</t>
  </si>
  <si>
    <t>1.1.1</t>
  </si>
  <si>
    <t>Encarregado (5 Salário Mínimo)</t>
  </si>
  <si>
    <t>hxmês</t>
  </si>
  <si>
    <t>1.1.2</t>
  </si>
  <si>
    <t>Digitador (1,5 Salário Mínimo)</t>
  </si>
  <si>
    <t>1.1.3</t>
  </si>
  <si>
    <t>Almoxarife (2 Salário Mínimo)</t>
  </si>
  <si>
    <t>1.1.7</t>
  </si>
  <si>
    <t>Vigia</t>
  </si>
  <si>
    <t>1.1.9</t>
  </si>
  <si>
    <t>Salário Mínimo</t>
  </si>
  <si>
    <t>1.2. ENCARGOS SOCIAIS</t>
  </si>
  <si>
    <t>1.2.1</t>
  </si>
  <si>
    <t>Encargos Sociais (Conforme Demonstrativo)</t>
  </si>
  <si>
    <t>1.3. BENEFÍCIOS</t>
  </si>
  <si>
    <t>1.3.4</t>
  </si>
  <si>
    <t>Vale Transporte Almoxarife (R$ 5,70 *25,16) - (R$ 1.356,00*6%)]</t>
  </si>
  <si>
    <t>1.3.5</t>
  </si>
  <si>
    <t>Vale Transporte Digitador (R$ 5,70 *25,17) - (R$ 1.017,00*6%)]</t>
  </si>
  <si>
    <t>1.3.6</t>
  </si>
  <si>
    <t>Vale Transporte Vigia [(R$ 5,70 *15) - (R$ 946,43*6%)]</t>
  </si>
  <si>
    <t>1.3.7</t>
  </si>
  <si>
    <t>Auxílio Alimentação</t>
  </si>
  <si>
    <t>hxdia</t>
  </si>
  <si>
    <t>2. EQUIPAMENTOS E MATERIAIS</t>
  </si>
  <si>
    <t>2.1. MATERIAL DE CONSUMO VEÍCULOS</t>
  </si>
  <si>
    <t>2.1.1</t>
  </si>
  <si>
    <t>Gasolina</t>
  </si>
  <si>
    <t>litro</t>
  </si>
  <si>
    <t>2.1.2</t>
  </si>
  <si>
    <t>Óleo Motor</t>
  </si>
  <si>
    <t>2.1.3</t>
  </si>
  <si>
    <t>Óleo Transmissão</t>
  </si>
  <si>
    <t>2.1.4</t>
  </si>
  <si>
    <t>Óleo Hidráulico</t>
  </si>
  <si>
    <t>2.1.5</t>
  </si>
  <si>
    <t>Graxa</t>
  </si>
  <si>
    <t>kg</t>
  </si>
  <si>
    <t>2.1.6</t>
  </si>
  <si>
    <t>Lavagem</t>
  </si>
  <si>
    <t>verba</t>
  </si>
  <si>
    <t>2.1.7</t>
  </si>
  <si>
    <t>Pneu 175/65 R14</t>
  </si>
  <si>
    <t>peça</t>
  </si>
  <si>
    <t>2.1.8</t>
  </si>
  <si>
    <t xml:space="preserve">2.2. VEÍCULOS, FERRAMENTAS E UTENSÍLIOS </t>
  </si>
  <si>
    <t>2.2.1</t>
  </si>
  <si>
    <t>Veículo 1.0, 4 Portas com Ar Condicionado, Direção Hidráulica e Trio Elétrico</t>
  </si>
  <si>
    <t>unidade</t>
  </si>
  <si>
    <t>3. BDI</t>
  </si>
  <si>
    <t>VALOR - %</t>
  </si>
  <si>
    <t>3.1. BDI</t>
  </si>
  <si>
    <t>3.1.1</t>
  </si>
  <si>
    <t>BDI para Serviços (Conforme Demonstrativo)</t>
  </si>
  <si>
    <t>DEMONSTRATIVO CUSTO - BDI</t>
  </si>
  <si>
    <t>TAXA (%)</t>
  </si>
  <si>
    <t>SERVIÇOS</t>
  </si>
  <si>
    <t>GRUPO A - ADMINSTRAÇÃO CENTRAL E LUCRO</t>
  </si>
  <si>
    <t>A.1 - ADMINISTRAÇÃO CENTRAL</t>
  </si>
  <si>
    <t>A.2 - LUCRO</t>
  </si>
  <si>
    <t>TOTAL GRUPO A</t>
  </si>
  <si>
    <t>GRUPO B - DESPESAS FINANCEIRAS</t>
  </si>
  <si>
    <t>B.1 - DESPESAS FINANCEIRAS</t>
  </si>
  <si>
    <t>TOTAL GRUPO B</t>
  </si>
  <si>
    <t>GRUPO C - SEGUROS, GARANTIAS E RISCOS</t>
  </si>
  <si>
    <t>C.1 - SEGUROS</t>
  </si>
  <si>
    <t>C.2 - GARANTIAS</t>
  </si>
  <si>
    <t>C.3 - RISCOS</t>
  </si>
  <si>
    <t>TOTAL GRUPO C</t>
  </si>
  <si>
    <t>GRUPO D - ENCARGOS FISCAIS</t>
  </si>
  <si>
    <t>D.1 - PIS (0,65% SOBRE FATURAMENTO)</t>
  </si>
  <si>
    <t>D.2 - COFINS (3,0% SOBRE FATURAMENTO)</t>
  </si>
  <si>
    <t>D.3 - ISS (5,00% SOBRE FATURAMENTO)</t>
  </si>
  <si>
    <t>TOTAL GRUPO D = {[ 1 / (1 - 0,0865) - 1 ]} = 9,469%</t>
  </si>
  <si>
    <t>CONTRATAÇÃO DE EMPRESA ESPECIALIZADA NA ÁREA DE ENGENHARIA PARA A EXECUÇÃO DOS SERVIÇOS DE MANUTENÇÃO/CONSERVAÇÃO DA INFRAESTRUTURA VIÁRIA NO MUNICÍPIO DE CAMARAGIBE.</t>
  </si>
  <si>
    <t>RESUMO</t>
  </si>
  <si>
    <t>PREÇO (R$)</t>
  </si>
  <si>
    <t>1.0</t>
  </si>
  <si>
    <t>2.0</t>
  </si>
  <si>
    <t>3.0</t>
  </si>
  <si>
    <t>4.0</t>
  </si>
  <si>
    <t>5.0</t>
  </si>
  <si>
    <t>6.0</t>
  </si>
  <si>
    <t>7.0</t>
  </si>
  <si>
    <t>Camaragibe, 19 de abril de 2021.</t>
  </si>
  <si>
    <t>PREFEITURA MUNICIPAL DE CAMARAGIBE</t>
  </si>
  <si>
    <t>SECRETARIA DE INFRAESTRUTURA E SERVIÇOS PÚBLICOS</t>
  </si>
  <si>
    <t>OBJETO:</t>
  </si>
  <si>
    <t>LOCAL:</t>
  </si>
  <si>
    <t>FONTE DE PREÇO:</t>
  </si>
  <si>
    <t>COMPOSIÇÕES DE CUSTO, TABELA DA SINAPI_PE_DESONERADA_NOV/2020 E EMLURB_JULHO/2018  + (BDI 28,82%).</t>
  </si>
  <si>
    <t>ORÇAMENTO BÁSICO</t>
  </si>
  <si>
    <t>CÓDIGO</t>
  </si>
  <si>
    <t>BDI</t>
  </si>
  <si>
    <t>UNITÁRIO COM BDI (R$)</t>
  </si>
  <si>
    <t>ADMINISTRAÇÃO LOCAL</t>
  </si>
  <si>
    <t>COMPOSÇÃO 001</t>
  </si>
  <si>
    <t>ADMINISTRAÇÃO LOCAL (MÊS)</t>
  </si>
  <si>
    <t xml:space="preserve">Subtotal   1.0 </t>
  </si>
  <si>
    <t>INSTALAÇÕES PROVISÓRIAS</t>
  </si>
  <si>
    <t>03.03.090 (EMLURB_07/2018)</t>
  </si>
  <si>
    <t>FORNECIMENTO TRANSPORTE E ASSENTAMENTO DE PLACA DA OBRA PARA CONSTRUCAO CIVIL EM CHAPA GALVANIZADA N.22.</t>
  </si>
  <si>
    <t>m²</t>
  </si>
  <si>
    <t>03.03.010  (EMLURB_07/2018)</t>
  </si>
  <si>
    <t>BARRACAO PARA ESCRITORIO EM CHAPAS DE MADEIRA
COMPENSADA , COM PISO EM ARGAMASSA DE CIMENTO
E AREIA, TRACO 1 6</t>
  </si>
  <si>
    <t>03.03.010
EMLURB jul 2018</t>
  </si>
  <si>
    <t>BARRACAO PARA DEPOSITO EM TABUAS, COM PISO EM ARGAMASSA DE CIMENTO E AREIA, TRACO 1 6.</t>
  </si>
  <si>
    <t>M2</t>
  </si>
  <si>
    <t>03.03.045
EMLURB jul 2018</t>
  </si>
  <si>
    <t>FORNECIMENTO E MONTAGEM DE TELA DE SINALIZACAO LARANJA(H=1,2M) FIXADA EM MONTAN TES DE FERRO DE 1/2 POL. OU EM BARROTES DE MADEIRA 3X3 POL. COLOCADOS SOBRE BASE DE CONCRETO TRACO 1:4:8 , ESPACADOS A CADA 2M, INCLUSIVE POSTERIOR RETIRADA E REAPROVEITAMENTO</t>
  </si>
  <si>
    <t>M</t>
  </si>
  <si>
    <t>2.5</t>
  </si>
  <si>
    <t>03.03.057 
EMLURB jul 2018</t>
  </si>
  <si>
    <t>LOCACAO DIARIA DE CAVALETE DE OBRA (MOD. AV-42/2000)</t>
  </si>
  <si>
    <t xml:space="preserve">UN </t>
  </si>
  <si>
    <t xml:space="preserve">Subtotal   2.0 </t>
  </si>
  <si>
    <t xml:space="preserve">3.0 </t>
  </si>
  <si>
    <t>SERVIÇOS PRELIMINARES</t>
  </si>
  <si>
    <t>03.01.200 (EMLURB_07/2018)</t>
  </si>
  <si>
    <t>DEMOLIÇÃO MANUAL DE CONCRETO SIMPLES</t>
  </si>
  <si>
    <t>m³</t>
  </si>
  <si>
    <t>03.01.210 (EMLURB_07/2018)</t>
  </si>
  <si>
    <t>DEMOLIÇÃO MANUAL DE CONCRETO ARMADA</t>
  </si>
  <si>
    <t>03.01.220 (EMLURB_07/2018)</t>
  </si>
  <si>
    <t>DEMOLIÇÃO MANUAL DE PAVIMENTAÇÃO ASFÁLTICA</t>
  </si>
  <si>
    <t>03.01.222 (EMLURB_07/2018)</t>
  </si>
  <si>
    <t>DEMOLIÇÃO DE PAVIMENTAÇÃO ASFÁLTICA COM UTILIZAÇÃO DE MARTELETE PNEUMÁTICO</t>
  </si>
  <si>
    <t>03.01.230 (EMLURB_07/2018)</t>
  </si>
  <si>
    <t>DEMOLIÇÃO DE PAVIMENTAÇÃO EM PARALELEPÍPEDO SOBRE AREIA</t>
  </si>
  <si>
    <t>03.01.260 (EMLURB_07/218)</t>
  </si>
  <si>
    <t>DEMOLIÇÃO DE MEIO-FIO</t>
  </si>
  <si>
    <t>m</t>
  </si>
  <si>
    <t>03.01.270 (EMLURB_07/2018)</t>
  </si>
  <si>
    <t>DEMOLIÇÃO DE LINHA D'ÁGUA</t>
  </si>
  <si>
    <t xml:space="preserve">Subtotal   3.0 </t>
  </si>
  <si>
    <t xml:space="preserve">4.0 </t>
  </si>
  <si>
    <t>TRABALHOS EM TERRA</t>
  </si>
  <si>
    <t>05.03.020 (EMLURB_07/2018)</t>
  </si>
  <si>
    <t>REGULARIZAÇÃO MECANICA  DE TERRENO NATURAL, CORTE OU ATERRO ATÉ 20 CM DE ESPESSURA.</t>
  </si>
  <si>
    <t>05.01.010 (EMLURB_07/2018)</t>
  </si>
  <si>
    <t>ESCAVAÇÃO MANUAL EM TERRA ATÉ 1,50  DE PROFUNDIDADE, SEM ESCORAMENTO.</t>
  </si>
  <si>
    <t>04.02.120 (EMLURB_07/2018)</t>
  </si>
  <si>
    <t>TRANSPORTE COM CARRO DE MÃO DE AREIA, ENTULHO OU TERRA ATÉ 30M</t>
  </si>
  <si>
    <t>05.02.100 (EMLURB_07/2018)</t>
  </si>
  <si>
    <t>COMPACTAÇÃO MECÂNICA DE ATERRO A 100 POR CENTO DO PROCTOR NORMAL, MEDIDO NA SEÇÃO, INCLUSIVE ESPALHAMENTO, UMEDECIMENTO E HOMOGENEIZAÇÃO</t>
  </si>
  <si>
    <t>04.03.010 (EMLURB_07/2018)</t>
  </si>
  <si>
    <t>REMOÇÃO DE MATERIAL DE PRIMEIRA CATEGORIA EM CAMINHÃO BASCULANTE, D.M.T. 6KM, INCLUSIVE CARGA E DESCARGA MANUAIS</t>
  </si>
  <si>
    <t>04.03.040 (EMLURB_07/2018)</t>
  </si>
  <si>
    <t>REMOÇÃO DE MATERIAL DE PRIMEIRA CATEGORIA EM CAMINHÃO BASCULANTE, D.M.T. 6KM, INCLUSIVE CARGA E DESCARGA MECÂNICA</t>
  </si>
  <si>
    <t>4.7</t>
  </si>
  <si>
    <t>04.03.020 (EMLURB_07/2018)</t>
  </si>
  <si>
    <t>REMOÇÃO DE MATERIAL DE PRIMEIRA CATEGORIA EM CAMINHÃO BASCULANTE, D.M.T. 12KM, INCLUSIVE CARGA E DESCARGA MANUAIS</t>
  </si>
  <si>
    <t>4.8</t>
  </si>
  <si>
    <t>04.03.050 (EMLURB_07/2018)</t>
  </si>
  <si>
    <t>REMOÇÃO DE MATERIAL DE PRIMEIRA CATEGORIA EM CAMINHÃO BASCULANTE, D.M.T. 12KM, INCLUSIVE CARGA E DESCARGA MECÂNICA</t>
  </si>
  <si>
    <t>4.9</t>
  </si>
  <si>
    <t>04.04.130 (EMLURB_07/2018)</t>
  </si>
  <si>
    <t>FORNECIMENTO E ESPALHAMENTO DE PÓ DE PEDRA INCLUSIVE CARGA, DESCARGA E TRANSPORTE (POSTO OBRA)</t>
  </si>
  <si>
    <t>4.10</t>
  </si>
  <si>
    <t>04.04.060 (EMLURB_07/2018)</t>
  </si>
  <si>
    <t>FORNECIMENTO DE BARRO PARA ATERRO, INCLUSIVE CARGA, DESCARGA E TRANSPORTE COM DMT 10KM.</t>
  </si>
  <si>
    <t xml:space="preserve">Subtotal 4.0 </t>
  </si>
  <si>
    <t>REVESTIMENTO DO PAVIMENTO</t>
  </si>
  <si>
    <t>17.01.030 (EMLURB_07/2018)</t>
  </si>
  <si>
    <t>PASSEIO DE CONCRETO 1 4 8 COM 5,0 CM DE ESPESSURA, CAPEADO COM CIMENTO E AREIA NO TRAÇO 1 : 3, TENDO 2,0 CM DE ESPESSURA.</t>
  </si>
  <si>
    <t>20.07.080 (EMLURB_07/2018)</t>
  </si>
  <si>
    <t>REPOSIÇÃO DE PAVIMENTO COM PARALELEPÍPEDOS GRANÍTICOS (TAPA BURACO) ASSENTADOS SOBRE MISTURA DE CIMENTO E AREIA NO TRAÇO 1:6 COM 6CM DE ESPESSURA E REJUNTADOS COM ARGAMASSA DE CIMENTO E AREIA NO TRAÇO 1:2 (ÁREA TOTAL POR RUA INFERIOR OU IGUAL A 30M²)</t>
  </si>
  <si>
    <t>20.09.050 (EMLURB_07/2018)</t>
  </si>
  <si>
    <t>REPOSIÇÃO DE MEIO-FIO DE PEDRA GRANÍTICA OU DE CONCRETO, REJUNTADOS COM ARGAMASSA DE CIMENTO E AREIA NO TRAÇO 1:2</t>
  </si>
  <si>
    <t>20.09.060 (EMLURB_07/2018)</t>
  </si>
  <si>
    <t>REPOSIÇÃO DE LINHA D’ÁGUA DE PARALELEPÍPEDOS GRANÍTICOS ASSENTADOS SOBRE MISTURA DE CIMENTO E AREIA NO TRAÇO 1:6 COM 6CM DE ESPESSURA E REJUNTADOS COM ARGAMASSA DE CIMENTO E AREIA 1:2, INCLUSIVE BASE DE CONCRETO 1:4:8 COM 10CM DE ESPESSURA</t>
  </si>
  <si>
    <t>20.05.012 (EMLURB_07/2018)</t>
  </si>
  <si>
    <t>FABRICACAO DE PRE-MISTURADO A FRIO FINO PARA CAMADA DE ROLAMENTO COM 7,5% DE EMULSAO (VOLUME APLICADO COMPACTADO),COM O FORNECIMENTO DA EMULSAO ASFALTICA,RM-1C ORCADA A PARTE A UMA
TAXA DE 170 KG/M3 (CODIGO 20.04.115) - SERVICO DIURNO.</t>
  </si>
  <si>
    <t>5.5.1</t>
  </si>
  <si>
    <t>20.04.115 (EMLURB_07/2018)</t>
  </si>
  <si>
    <r>
      <rPr>
        <sz val="12"/>
        <rFont val="Times New Roman"/>
        <family val="1"/>
      </rPr>
      <t>FORNECIMENTO DE EMULSAO ASFALTICA RM-1C, IN</t>
    </r>
    <r>
      <rPr>
        <sz val="12"/>
        <color indexed="8"/>
        <rFont val="Arial"/>
        <family val="2"/>
      </rPr>
      <t>_x0002_</t>
    </r>
    <r>
      <rPr>
        <sz val="12"/>
        <color indexed="8"/>
        <rFont val="Times New Roman"/>
        <family val="1"/>
      </rPr>
      <t>CLUSIVE FRETE POSTO NA USINA DE ASFALTO NA REGIAO METROPOLITANA DE RECIFE/PE</t>
    </r>
  </si>
  <si>
    <t>20.05.050 (EMLURB_07/2018)</t>
  </si>
  <si>
    <t>TRANSPORTE DE PRÉ-MISTURADO A FRIO FINO OU GROSSO, NO CASO DE REPOSIÇÃO (CAMINHÃO ACOMPANHANDO A TURMA), D.M.T. 24 KM - SERVIÇO DIURNO.</t>
  </si>
  <si>
    <t>20.05.032 (EMLURB_07/2018)</t>
  </si>
  <si>
    <t>CARGA MECÂNICA DE PRÉ-MISTURADO, INCLUINDO ESPALHAMENTO DO MESMO EM CIMS DO CAMINHÃO – SERVIÇO DIURNO.</t>
  </si>
  <si>
    <t>20.05.036 (EMLURB_07/2018)</t>
  </si>
  <si>
    <t>DESCARGA MANUAL PRÉ-MISTURADO A FRIO FINO OU GROSSO (CURADO) SERVIÇO DIURNO.</t>
  </si>
  <si>
    <t>20.04.044 (EMLURB_07/2018)</t>
  </si>
  <si>
    <t>PINTURA ASFALTICA COM APLICACAO MANUAL, COM O FORNECIMENTO DA EMULSAO ASFALTICA RR-1C ORCADO A PARTE A UMA TAXA DE 0,5KG/M2 (CODIGO 20. 04.105) - SERVICO DIURNO.</t>
  </si>
  <si>
    <t>5.9.1</t>
  </si>
  <si>
    <t>20.04.105 (EMLURB_07/2018)</t>
  </si>
  <si>
    <t>FORNECIMENTO DE EMULSAO ASFALTICA RR-1C, INCLUSIVE FRETE POSTO NA USINA DE ASFALTO NA REGIAO METROPOLITANA DE RECIFE/PE</t>
  </si>
  <si>
    <t>5.10</t>
  </si>
  <si>
    <t>20.05.070 (EMLURB_07/2018)</t>
  </si>
  <si>
    <t>ESPALHAMENTO E COMPACTAÇÃO DE PRÉ-MISTURADO A FRIO FINO OU GROSSO</t>
  </si>
  <si>
    <t>5.11</t>
  </si>
  <si>
    <t>20.03.200 (EMLURB_07/2018)</t>
  </si>
  <si>
    <t>EXECUÇÃO DE BASE COM BRITA GRADUADA  (CORRIDA ABRANGENDO ESPALHAMENTO E COMPACTAÇÃO DA MISTURA EM CAMADAS SUCESSIVAS COM 15 CM DE ESPESSURA INCLUSIVE FORNECIMENTO DO MATERIAL ( POSTO EM OBRA )</t>
  </si>
  <si>
    <t>5.12</t>
  </si>
  <si>
    <t>20.07.020 (EMLURB_07/2018)</t>
  </si>
  <si>
    <t>PAVIMENTO COM PARALELEPÍPEDOS GRANÍTICOS (TAPA BURACO), ASSENTADOS SOBRE COLCHÃO DE AREIA COM 6,0 CM DE ESPESSURA, E REJUNTADO COM ARGAMASSA DE CIMENTO E AREIA NO TRAÇO 1:2 (ÁREA TOTAL POR RUA INFERIOR OU IGUAL A 30M²</t>
  </si>
  <si>
    <t>5.13</t>
  </si>
  <si>
    <t>20.05.122 (EMLURB_07/2018)</t>
  </si>
  <si>
    <t xml:space="preserve">
CONCRETO BETUMINOSO USINADO A QUENTE, PARA CAMADA DE ROLAMENTO, 6% DE CAP. EM MEDIA,INCLUSIVE APLICACAO E COMPACTACAO, C/ FORNECIMENTO DO CIMENTO ASFALTICO,CAP.50/70,ORCADO A PARTE A UMA TAXA DE 150,66KG/M3 (COD.20.04.100) - SERVICO DIURNO.</t>
  </si>
  <si>
    <t>5.13.1</t>
  </si>
  <si>
    <t>20.04.100 (EMLURB_07/2018)</t>
  </si>
  <si>
    <t>FORNECIMENTO DE CIMENTO ASFALTICO CAP 50/70, INCLUSIVE FRETE POSTO NA USINA DE ASFALTO NA REGIAO METROPOLITANA DE RECIFE/PE</t>
  </si>
  <si>
    <t>5.14</t>
  </si>
  <si>
    <t>20.05.152 (EMLURB_07/2018)</t>
  </si>
  <si>
    <t>CONCRETO BETUMINOSO USINADO A QUENTE PARA CAMADA DE LIGACAO OU REGULARIZACAO(BINDER),4,5%DE CAP NO MINIMO,INCLUSIVE APLICACAO E COMPACTACAO,COM O FORNECIMENTO DO CIMENTO ASFALTICO CAP 50/70,ORCADO A PARTE A UMA TAXA DE 108 KG/M3(CODIGO 20.04.100) - SERVICO DIURNO.</t>
  </si>
  <si>
    <t>5.14.1</t>
  </si>
  <si>
    <t>5.15</t>
  </si>
  <si>
    <t>20.09.010 (EMLURB_07/2018)</t>
  </si>
  <si>
    <t>FORNECIMENTO E ASSENTAMENTO DE MEIO-FIO DE PEDRA  GRANÍTICA, REJUNTADO COM ARGAMASSA DE CIMENTO E AREIA  NO TRAÇO DE 1:2</t>
  </si>
  <si>
    <t>5.16</t>
  </si>
  <si>
    <t>20.09.030 (EMLURB_07/2018)</t>
  </si>
  <si>
    <t>CONSTRUÇÃO DE LINHA  D’ÁGUA COM PARALELEP. GRANÍTICOS ASSENTADOS SOBRE ARGAMASSA DE CIMENTO E AREIA NO TRAÇO 1:6 COM 6CM DE ESPESSURA  E REJUNTADOS COM ARGAMASSA  DE CIMENTO E AREIA NO TRAÇO 1:2 INCLUSIVE BASE DE CONCRETO NO TRAÇO 1:4:8 COM 10CM DE ESPESSURA.</t>
  </si>
  <si>
    <t>5.17</t>
  </si>
  <si>
    <t>17.01.170 (EMLURB_07/2018)</t>
  </si>
  <si>
    <t>PASSEIO EM BLOCO DE CIMENTO INTERTRAVADO TIPO PAVER OU SIM. FCK MÍNIMO 30 MPA COM PIGMENTO NATURAL, DIM. (0,20 X 0,10 X 0,06)M , ASSENTADO SOBRE COLCHÃO DE AREIA COM 6CM DE ESPESSURA E REJUNTADO COM AREIA FINA COM USO DE PLACA VIBRATÓRIA.</t>
  </si>
  <si>
    <t>5.18</t>
  </si>
  <si>
    <t>17.01.174 (EMLURB_07/2018)</t>
  </si>
  <si>
    <t>REPOSIÇAO PASSEIO EM BLOCO DE CIMENTO INTERTRAVADO TIPO PAVER OU SIM. FCK MINIMO 30 MPA COM PIGMENTO NATURAL/ COLORIDO DIM.(0,20 X 0,10 X 0,06)M, ASSENTADO SOBRE COLCHÃO DE AREIA COM 6CM DE ESPESSURA E REJUNTADO COM AREIA FINA COM USO DE PLACA VIBRATÓRIA.</t>
  </si>
  <si>
    <t>5.19</t>
  </si>
  <si>
    <t>20.09.020 (EMLURB_07/2018)</t>
  </si>
  <si>
    <t>FORNECIMENTO E ASSENTAMENTO DE MEIO-FIO DE CONCRETO PARA PAVIMENTAÇÃO PRENSADO (PADRÃO DNER), REJUNTADO COM ARGAMASSA DE CIMENTO E AREIA 1:2.</t>
  </si>
  <si>
    <t>Subtotal 5.0</t>
  </si>
  <si>
    <t>DRENAGEM</t>
  </si>
  <si>
    <t>21.01.030 (EMLURB_07/2018)</t>
  </si>
  <si>
    <t>GRADE DE CONCRETO DE 0,30 X 0,95M, INCLUSIVE ASSENTAMENTO</t>
  </si>
  <si>
    <t>un</t>
  </si>
  <si>
    <t>21.01.060 (EMLURB_07/2018)</t>
  </si>
  <si>
    <t>TAMPAO(TAMPA E CAIXILHO) DE CONCRETO C/0,60 M DE DIAMETRO, INCLUSIVE ASSENTAMENTO E TRANS - PORTE (LOGOMARCA P.C.R)</t>
  </si>
  <si>
    <t>21.01.070 (EMLURB_07/2018)</t>
  </si>
  <si>
    <t>TAMPA DE CONCRETO PARA TAMPAO COM 0,60 M DE DIAMETRO, INCLUSIVE ASSENTAMENTO E TRANSPORTE (LOGOMARCA P.C.R.)</t>
  </si>
  <si>
    <t>21.02.010 (EMLURB_07/2018)</t>
  </si>
  <si>
    <t>CONSTRUCAO DE CAIXA COLETORA,TIPO"COM GRADE", EM ALVENARIA DE 1 VEZ - TIJOLOS MACICOS PRENSADOS -( REF. DR-01-OBRAS RECIFE) NAS DIMENSOES INTERNAS DE 0,25 X 0,85 X 1,00 M, INCLUSIVE ESCAVACAO, REATERRO COMPACTADO E REMOCAO DO MATERIAL EXCEDENTE ( SEM A GRADE ).</t>
  </si>
  <si>
    <t>21.02.030 (EMLURB_07/2018)</t>
  </si>
  <si>
    <t>CONTRUCAO DE CAIXA COLETORA, TIPO'COM GAVETA', EM ALVENARIA DE 1 VEZ DE TIJOLOS MACICOS PRENSADOS (REF. DR-06-OBRAS RECIFE) NAS DIM. INTERNAS 0,8 X 0,8 X 0,90 M ,INCLUSIVE ESCAVACAO,REATERRO COMPACTADO E REMOCAO DO MAT. EXCEDENTE ( C/ SOBRETAMPA DE CONC.).</t>
  </si>
  <si>
    <t>21.03.060 (EMLURB_07/2018)</t>
  </si>
  <si>
    <t>CONSTRUÇÃO DE POÇO DE VISITA EM ALVENARIA DE 1 VEZ, TIJOLOS MACIÇOS PRENSADOS, (REF. DR-05-OBRAS RECIFE) NAS DIMENSÕES INTERNAS 1,0 X 1,0 X 1,5M, INCLUSIVE ESCAVAÇÃO, REATERRO COMPACTADO E REMOÇÃO DO MATERIAL EXCEDENTE (SEM O TAMPÃO)</t>
  </si>
  <si>
    <t>21.06.365 (EMLURB_07/2018)</t>
  </si>
  <si>
    <t>GALERIA DE TUBOS DE CONCRETO PA1 – 0,40M  DE DIÂMETRO, INCLUSIVE ESCAVAÇÃO MANUAL DAS VALAS ATÉ 1,50M  DE PROFUNDIDADE, REATERRO COMPACTADO, REMOÇÃO DO MATERIAL EXCEDENTE E AINDA FORNECIMENTO E ASSENTAMENTO DOS TUBOS.</t>
  </si>
  <si>
    <t>21.06.371 (EMLURB_07/2018)</t>
  </si>
  <si>
    <t>GALERIA DE TUBOS DE CONCRETO PA1 – 0,60M  DE DIÂMETRO, INCLUSIVE ESCAVAÇÃO MANUAL DAS VALAS ATÉ 1,50M  DE PROFUNDIDADE, REATERRO COMPACTADO, REMOÇÃO DO MATERIAL EXCEDENTE E AINDA FORNECIMENTO E ASSENTAMENTO DOS TUBOS.</t>
  </si>
  <si>
    <t>21.06.451 (EMLURB_07/2018)</t>
  </si>
  <si>
    <t>GALERIA DE TUBOS DE CONCRETO CA1 – 0,80M  DE DIÂMETRO, INCLUSIVE ESCAVAÇÃO MANUAL DAS VALAS ATÉ 1,50M  DE PROFUNDIDADE, REATERRO COMPACTADO, REMOÇÃO DO MATERIAL EXCEDENTE E AINDA FORNECIMENTO E ASSENTAMENTO DOS TUBOS.</t>
  </si>
  <si>
    <t>21.06.531 (EMLURB_07/2018)</t>
  </si>
  <si>
    <t>GALERIA DE TUBOS DE CONCRETO CA1 – 1,00M  DE DIÂMETRO, INCLUSIVE ESCAVAÇÃO MANUAL DAS VALAS ATÉ 1,50M  DE PROFUNDIDADE, REATERRO COMPACTADO, REMOÇÃO DO MATERIAL EXCEDENTE E AINDA FORNECIMENTO E ASSENTAMENTO DOS TUBOS.</t>
  </si>
  <si>
    <t>19.04.040 (EMLURB_07/2018)</t>
  </si>
  <si>
    <t xml:space="preserve">FORNECIMENTO E ASSENTAMENTO DE TUBOS DE PVC RÍGIDO SOLDÁVEIS, DIÂMETRO 100MM, PARA COLETORES E SUB-COLETORES DE ESGOTO OU ÁGUAS PLUVIAIS, INCLUSIVE ABERTURA E FECHAMENTO DE VALAS. </t>
  </si>
  <si>
    <t>19.04.050 (EMLURB_07/2018)</t>
  </si>
  <si>
    <t xml:space="preserve">FORNECIMENTO E ASSENTAMENTO DE TUBOS DE PVC RÍGIDO SOLDÁVEIS, DIÂMETRO 150MM, PARA COLETORES E SUB-COLETORES DE ESGOTO OU ÁGUAS PLUVIAIS, INCLUSIVE ABERTURA E FECHAMENTO DE VALAS. </t>
  </si>
  <si>
    <t xml:space="preserve">Subtotal 6.0 </t>
  </si>
  <si>
    <t>LOCAÇÃO DE EQUIPAMENTO</t>
  </si>
  <si>
    <t>01.03.060 (EMLURB_07/2018)</t>
  </si>
  <si>
    <t xml:space="preserve">PLACA VIBRATORIA, MOTOR DIESEL -POT.4HP - COM MAO DE OBRA DO OPERADOR E COMBUSTIVEL.(SERVICO DIURNO)
</t>
  </si>
  <si>
    <t>h</t>
  </si>
  <si>
    <t>01.09.050 (EMLURB_07/2018)</t>
  </si>
  <si>
    <t>MÁQUINA PARA CORTE DE PISO (CONCRETO OU ASFALTO), COM MOTOR A GASOLINA, INCLUSIVE DISCO P/CORTE DE 350 MM - POT. 8 HP - COM MÃO DE OBRA DO OPERADOR E COMBUSTÍVEL (SERVIÇO DIURNO).</t>
  </si>
  <si>
    <t xml:space="preserve">Subtotal 7.0 </t>
  </si>
  <si>
    <t>IMPORTA O PRESENTE ORÇAMENTO EM:</t>
  </si>
  <si>
    <t>TRÊS MILHÕES, SETECENTOS E CINQUENTA E UM MIL, NOVECENTOS E SESSENTA E TRÊS REAIS E VINTE E DOIS CENTAVOS.</t>
  </si>
  <si>
    <t>TODO MUNICÍPIO DE CAMARAGIBE/PE.</t>
  </si>
  <si>
    <t>MEMÓRIA DE CÁLCULO</t>
  </si>
  <si>
    <t>TIPOS DE RUAS</t>
  </si>
  <si>
    <t>NÃO PAVIMENTADAS</t>
  </si>
  <si>
    <t xml:space="preserve"> PAVIMENTADAS</t>
  </si>
  <si>
    <t>MISTAS</t>
  </si>
  <si>
    <t>DESCRIÇÃO DOS SERVIÇOS</t>
  </si>
  <si>
    <t>UNID.</t>
  </si>
  <si>
    <t>COEF. (%)</t>
  </si>
  <si>
    <t>QUANT</t>
  </si>
  <si>
    <t>COMP. (m)</t>
  </si>
  <si>
    <t>LARG.(m)</t>
  </si>
  <si>
    <t>ALT.(m)</t>
  </si>
  <si>
    <t>ÁREA (m²)</t>
  </si>
  <si>
    <t>VOL. (m³)</t>
  </si>
  <si>
    <t>QTD RUAS</t>
  </si>
  <si>
    <t>BAIRROS</t>
  </si>
  <si>
    <t>COMP. (M)</t>
  </si>
  <si>
    <t>ÀREA (M²)</t>
  </si>
  <si>
    <t>Dados do levamtamento</t>
  </si>
  <si>
    <t>Nao revestida</t>
  </si>
  <si>
    <t>Diversos tipos de revevestimento (cbuq, paralelepipedo, mista)</t>
  </si>
  <si>
    <t>DEMOLIÇÃO MANUAL DE CONCRETO SIMPLES (CALÇADAS\PASSEIOS)</t>
  </si>
  <si>
    <t xml:space="preserve">DEMOLIÇÃO MANUAL DE CONCRETO ARMADO </t>
  </si>
  <si>
    <t>* 32.000m (Equivale a aproximadamente 15% da extensão das ruas pavimentadas e mistas) x 5,50 (largura média das ruas) x 4,5% (percentual equivalente a 4,5% da área estimada).</t>
  </si>
  <si>
    <t>**Valor que equivale aproximadamente a  4,5% (ÁREA DO QUANTITATIVO DE DEMOLIÇÃO MANUAL)</t>
  </si>
  <si>
    <t>***32.000m (aproximadamente 15% da extensão das ruas pavimentadas e mistas) x 5,50 (largura média das ruas) x 4,5% (área de intervenção equivalente a 4,5% da área estimada)</t>
  </si>
  <si>
    <t>****4.200m (aproximadamente 2% da extensão das ruas  pavimentadas e mistas) x 2 (quantidade de guias por ruas)  x 15% (área de intervenção equivalentente a 15% da área estimada)</t>
  </si>
  <si>
    <t>REGULARIZAÇÃO MECANICA  DE TERRENO NATURAL, CORTE OU ATERRO ATÉ 20 CM DE ESPESSURA. (30%Não pavimentada+10%Mista)</t>
  </si>
  <si>
    <t>TRANSPORTE COM CARRO DE MÃO DE AREIA, ENTULHO OU TERRA ATÉ 30M(Demoliçoes pav. x 0,10 +Dem. concreto + 25%Empolamento)</t>
  </si>
  <si>
    <t>*COMPACTAÇÃO  QUE EQUIVALE A 1% DA ÁREA DE REGULARIZAÇÃO COM ESPESSURA DE 0,25m</t>
  </si>
  <si>
    <t>FORNECIMENTO E ESPALHAMENTO DE PÓ DE PEDRA INCLUSIVE CARGA, DESCARGA E TRANSPORTE (POSTO OBRA)FORNECIMENTO E ESPALHAMENTO DE PÓ DE PEDRA INCLUSIVE CARGA, DESCARGA E TRANSPORTE (POSTO OBRA) (30%Não pavimentada+10%Mista)</t>
  </si>
  <si>
    <t>**VALOR CALCULADO CONSIDERANDO 10% DA ÁREA DE REGULARIZAÇÃO COM 0,10m  DE ESPESSURA</t>
  </si>
  <si>
    <t>*VALOR CORRIGIDO EM FUNÇÃO DO ITEM 3.5 - DEMOLIÇÃO DE PAVIMENTAÇÃO EM PARALELEPÍPEDOS</t>
  </si>
  <si>
    <t>**SERVIÇO CALCULADO EM FUNÇÃO DO ITEM 3.3</t>
  </si>
  <si>
    <r>
      <rPr>
        <sz val="12"/>
        <rFont val="Times New Roman"/>
        <family val="1"/>
      </rPr>
      <t>FORNECIMENTO DE EMULSAO ASFALTICA RM-1C, IN</t>
    </r>
    <r>
      <rPr>
        <sz val="12"/>
        <rFont val="Arial"/>
        <family val="2"/>
      </rPr>
      <t>_x0002_</t>
    </r>
    <r>
      <rPr>
        <sz val="12"/>
        <rFont val="Times New Roman"/>
        <family val="1"/>
      </rPr>
      <t>CLUSIVE FRETE POSTO NA USINA DE ASFALTO NA REGIAO METROPOLITANA DE RECIFE/PE</t>
    </r>
  </si>
  <si>
    <t>FORNECIMENTO E ASSENTAMENTO DE TUBOS DE PVC RÍGIDO SOLDÁVEIS, DIÂMETRO 100MM, PARA COLUNAS DE ESGOTO, VENTILAÇÃO OU ÁGUAS PLUVIAIS</t>
  </si>
  <si>
    <t>FORNECIMENTO E ASSENTAMENTO DE TUBOS DE PVC RÍGIDO SOLDÁVEIS, DIÂMETRO 150MM</t>
  </si>
  <si>
    <t>COEF. h/dia)</t>
  </si>
  <si>
    <t>COMP(m)</t>
  </si>
  <si>
    <t>LARG(m)</t>
  </si>
  <si>
    <t>ALT(m)</t>
  </si>
  <si>
    <t>DIAS</t>
  </si>
  <si>
    <t xml:space="preserve">PLACA VIBRATORIA, MOTOR DIESEL -POT.4HP - COM MAO DE OBRA DO OPERADOR E COMBUSTIVEL.(SERVICO DIURNO) (Jornada de 5h/dia).
</t>
  </si>
  <si>
    <t>*MEMORIA  CORRIGIDA EM FUNÇÃO DA JORNADA DE 8 HORAS POR DIA, ESTIMADA EM 150 DIAS AO LONGO DO ANO.</t>
  </si>
  <si>
    <t>MÁQUINA PARA CORTE DE PISO (CONCRETO OU ASFALTO), COM MOTOR A GASOLINA, INCLUSIVE DISCO P/CORTE DE 350 MM - POT. 8 HP - COM MÃO DE OBRA DO OPERADOR E COMBUSTÍVEL (SERVIÇO DIURNO) (Jornada de 5h/dia).</t>
  </si>
  <si>
    <t>**MEMORIA  CORRIGIDA EM FUNÇÃO DA JORNADA DE 8 HORAS POR DIA, ESTIMADA EM 150 DIAS AO LONGO DO ANO.</t>
  </si>
  <si>
    <t>PREFEITURA MUNICIPAIL DE CAMARAGIBE</t>
  </si>
  <si>
    <r>
      <rPr>
        <b/>
        <sz val="12"/>
        <rFont val="Times New Roman"/>
        <family val="1"/>
      </rPr>
      <t>OBJETO:</t>
    </r>
    <r>
      <rPr>
        <sz val="12"/>
        <rFont val="Times New Roman"/>
        <family val="1"/>
      </rPr>
      <t xml:space="preserve"> </t>
    </r>
  </si>
  <si>
    <t>LOCAL</t>
  </si>
  <si>
    <t>CRONOGRAMA FÍSICO FINANCEIRO DE DESEMBOLSO MÁXIMO</t>
  </si>
  <si>
    <t>MESES</t>
  </si>
  <si>
    <t>1º</t>
  </si>
  <si>
    <t>2º</t>
  </si>
  <si>
    <t>3º</t>
  </si>
  <si>
    <t>4º</t>
  </si>
  <si>
    <t>5º</t>
  </si>
  <si>
    <t>6º</t>
  </si>
  <si>
    <t>7º</t>
  </si>
  <si>
    <t>8º</t>
  </si>
  <si>
    <t>9º</t>
  </si>
  <si>
    <t>10º</t>
  </si>
  <si>
    <t>11º</t>
  </si>
  <si>
    <t>12º</t>
  </si>
  <si>
    <t>PERCENTUAL MÁXIMO MENSAL</t>
  </si>
  <si>
    <t>TOTAL GERAL MENSAL</t>
  </si>
  <si>
    <t>TOTAL GERAL ACUMULADO</t>
  </si>
  <si>
    <t>CURVA ABC</t>
  </si>
  <si>
    <t>POR ITEM</t>
  </si>
  <si>
    <t>ACUMULADO</t>
  </si>
  <si>
    <t>FORNECIMENTO DE EMULSAO ASFALTICA RM-1C, IN_x0002_CLUSIVE FRETE POSTO NA USINA DE ASFALTO NA REGIAO METROPOLITANA DE RECIFE/PE</t>
  </si>
  <si>
    <t>PLACA VIBRATORIA, MOTOR DIESEL -POT.4HP - COM MAO DE OBRA DO OPERADOR E COMBUSTIVEL.(SERVICO DIURNO)</t>
  </si>
  <si>
    <t>CONCRETO BETUMINOSO USINADO A QUENTE, PARA CAMADA DE ROLAMENTO, 6% DE CAP. EM MEDIA,INCLUSIVE APLICACAO E COMPACTACAO, C/ FORNECIMENTO DO CIMENTO ASFALTICO,CAP.50/70,ORCADO A PARTE A UMA TAXA DE 150,66KG/M3 (COD.20.04.100) - SERVICO DIURNO.</t>
  </si>
  <si>
    <t>FORNECIMENTO E ASSENTAMENTO DE TUBOS DE PVC RÍGIDO SOLDÁVEIS, DIÂMETRO 100MM, PARA COLETORES E SUB-COLETORES DE ESGOTO OU ÁGUAS PLUVIAIS, INCLUSIVE ABERTURA E FECHAMENTO DE VALAS.</t>
  </si>
  <si>
    <t>FORNECIMENTO E ASSENTAMENTO DE TUBOS DE PVC RÍGIDO SOLDÁVEIS, DIÂMETRO 150MM, PARA COLETORES E SUB-COLETORES DE ESGOTO OU ÁGUAS PLUVIAIS, INCLUSIVE ABERTURA E FECHAMENTO DE VALAS.</t>
  </si>
  <si>
    <t xml:space="preserve">                                                                                                                                                                                                                                                       TOTAL</t>
  </si>
  <si>
    <t>Importa o presente orçamento em:</t>
  </si>
  <si>
    <t xml:space="preserve">COMPOSIÇÃO DE CUSTO </t>
  </si>
  <si>
    <t>UN</t>
  </si>
  <si>
    <t>COMP 01</t>
  </si>
  <si>
    <t xml:space="preserve">ADMINISTRAÇÃO LOCAL (MÊS) </t>
  </si>
  <si>
    <t>00040811   (SINAPI_11/2020  - INSUMO)</t>
  </si>
  <si>
    <t>ENGENHEIRO DE OBRAS JUNIOR (MENSALISTA)</t>
  </si>
  <si>
    <t>Und.</t>
  </si>
  <si>
    <t>00040818  (SINAPI_11/2020 - INSUMO)</t>
  </si>
  <si>
    <t>ENCARREGADO DE OBRAS GERAL (MENSALISTA)</t>
  </si>
  <si>
    <t xml:space="preserve">ADMINISTRAÇÃO LOCAL (ANO) </t>
  </si>
  <si>
    <t>SECRETARIA INFRAESTRUTURA E SERVIÇOS PÚBLICOS</t>
  </si>
  <si>
    <t>COMPOSIÇÃO DO BDI</t>
  </si>
  <si>
    <t>ITEM COMPONENTE DO BDI</t>
  </si>
  <si>
    <t>TAXA</t>
  </si>
  <si>
    <t>ADMINISRAÇÃO CENTRAL</t>
  </si>
  <si>
    <t>AC</t>
  </si>
  <si>
    <t>RISCOS</t>
  </si>
  <si>
    <t>R</t>
  </si>
  <si>
    <t>SEGURO GARANTIA</t>
  </si>
  <si>
    <t>S+G</t>
  </si>
  <si>
    <t>DESPESAS FINACEIRAS</t>
  </si>
  <si>
    <t>DF</t>
  </si>
  <si>
    <t>LUCRO</t>
  </si>
  <si>
    <t>L</t>
  </si>
  <si>
    <t>TRIBUTOS (PIS+COFINS+ISS)</t>
  </si>
  <si>
    <t>I</t>
  </si>
  <si>
    <t>CONTRIBUIÇÃO PREVIDENCIÁRIA SOBRE RECEITA BRUTA (CPRB)</t>
  </si>
  <si>
    <t>BDI (%)</t>
  </si>
  <si>
    <t>Esta planilha foi elaborada conforme equação para cálculo do percentual do BDI recomendada pelo relatório do acórdão TCU – 2369/2011 e TCU – 2622/2013, conforme abaixo ilustrado.</t>
  </si>
  <si>
    <t>RESUMO POR BAIRROS</t>
  </si>
  <si>
    <t>BAIRRO</t>
  </si>
  <si>
    <t xml:space="preserve"> ALDEIA DOS CAMARÁS</t>
  </si>
  <si>
    <t>VILA DA FÁBRICA</t>
  </si>
  <si>
    <t>-</t>
  </si>
  <si>
    <t>TABATINGA</t>
  </si>
  <si>
    <t xml:space="preserve"> TIMBÍ</t>
  </si>
  <si>
    <t xml:space="preserve"> BAIRRO DOS ESTADOS</t>
  </si>
  <si>
    <t xml:space="preserve"> BAIRRO NOVO DO CARMELO</t>
  </si>
  <si>
    <t>JARDIM PRIMAVERA</t>
  </si>
  <si>
    <t>ALBERTO MAIA</t>
  </si>
  <si>
    <t>SANTA MÔNICA</t>
  </si>
  <si>
    <t xml:space="preserve"> BORRALHO</t>
  </si>
  <si>
    <t>CÉU AZUL</t>
  </si>
  <si>
    <t xml:space="preserve"> ALDEIA DE BAIXO</t>
  </si>
  <si>
    <t>VIANA</t>
  </si>
  <si>
    <t>ALTO SANTO ANTONIO</t>
  </si>
  <si>
    <t>ALTO DA BOA VISTA</t>
  </si>
  <si>
    <t xml:space="preserve"> AREEIRO</t>
  </si>
  <si>
    <t xml:space="preserve"> CELEIRO DAS ALEGRIAS FUTURAS</t>
  </si>
  <si>
    <t xml:space="preserve"> SANTA TEREZA</t>
  </si>
  <si>
    <t xml:space="preserve"> SAO PAULO</t>
  </si>
  <si>
    <t>ESTACAO NOVA</t>
  </si>
  <si>
    <t xml:space="preserve"> JOAO PAULO II</t>
  </si>
  <si>
    <t xml:space="preserve"> SANTANA</t>
  </si>
  <si>
    <t>NAZARÉ</t>
  </si>
  <si>
    <t xml:space="preserve"> SAO PEDRO</t>
  </si>
  <si>
    <t xml:space="preserve"> VALE DAS PEDREIRAS</t>
  </si>
  <si>
    <t xml:space="preserve"> VILA DA INABI</t>
  </si>
  <si>
    <t xml:space="preserve"> OITENTA</t>
  </si>
  <si>
    <t>VERA CRUZ</t>
  </si>
  <si>
    <t xml:space="preserve"> SÃO JOÃO E SÃO PAULO</t>
  </si>
</sst>
</file>

<file path=xl/styles.xml><?xml version="1.0" encoding="utf-8"?>
<styleSheet xmlns="http://schemas.openxmlformats.org/spreadsheetml/2006/main">
  <numFmts count="37">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 #,##0_-;_-* &quot;-&quot;_-;_-@_-"/>
    <numFmt numFmtId="177" formatCode="_-* #,##0.00_-;\-* #,##0.00_-;_-* \-??_-;_-@_-"/>
    <numFmt numFmtId="178" formatCode="_(&quot;R$ &quot;* #,##0.00_);_(&quot;R$ &quot;* \(#,##0.00\);_(&quot;R$ &quot;* \-??_);_(@_)"/>
    <numFmt numFmtId="179" formatCode="_-&quot;R$ &quot;* #,##0.00_-;&quot;-R$ &quot;* #,##0.00_-;_-&quot;R$ &quot;* \-??_-;_-@_-"/>
    <numFmt numFmtId="180" formatCode="_-* #,##0.00_-;\-* #,##0.00_-;_-* &quot;-&quot;??_-;_-@_-"/>
    <numFmt numFmtId="181" formatCode="_(* #,##0.00_);_(* \(#,##0.00\);_(* \-??_);_(@_)"/>
    <numFmt numFmtId="182" formatCode="&quot;R$&quot;#,##0.00_);[Red]&quot;(R$&quot;#,##0.00\)"/>
    <numFmt numFmtId="183" formatCode="mm/yy"/>
    <numFmt numFmtId="184" formatCode="d/m/yy"/>
    <numFmt numFmtId="185" formatCode="0.00_);[Red]\(0.00\)"/>
    <numFmt numFmtId="186" formatCode="#,000_);[Red]\(#,000\)"/>
    <numFmt numFmtId="187" formatCode="#.000_);[Red]\(#.000\)"/>
    <numFmt numFmtId="188" formatCode="0.00_ "/>
    <numFmt numFmtId="189" formatCode="&quot;R$ &quot;#,##0.00_);[Red]&quot;(R$ &quot;#,###.00\)"/>
    <numFmt numFmtId="190" formatCode="&quot;R$&quot;#,##0.00"/>
    <numFmt numFmtId="191" formatCode="0.000%"/>
    <numFmt numFmtId="192" formatCode="&quot;R$&quot;#,###.00_);[Red]&quot;(R$&quot;#,###.00\)"/>
    <numFmt numFmtId="193" formatCode="0.0%"/>
    <numFmt numFmtId="194" formatCode="_-* #,###.##000_-;\-* #,###.##000_-;_-* \-??_-;_-@_-"/>
    <numFmt numFmtId="195" formatCode="_-* #,###.#####000_-;\-* #,###.#####000_-;_-* \-??_-;_-@_-"/>
    <numFmt numFmtId="196" formatCode="_-* #,###.########000_-;\-* #,###.########000_-;_-* \-??_-;_-@_-"/>
    <numFmt numFmtId="197" formatCode="0.000"/>
    <numFmt numFmtId="198" formatCode="_-* #,##0.000_-;\-* #,##0.000_-;_-* \-??_-;_-@_-"/>
    <numFmt numFmtId="199" formatCode="_(* #,##0.0000_);_(* \(#,##0.0000\);_(* \-??_);_(@_)"/>
    <numFmt numFmtId="200" formatCode="#,##0.0000"/>
  </numFmts>
  <fonts count="100">
    <font>
      <sz val="11"/>
      <color indexed="8"/>
      <name val="Calibri"/>
      <family val="2"/>
    </font>
    <font>
      <sz val="10"/>
      <name val="Calibri"/>
      <family val="2"/>
    </font>
    <font>
      <sz val="10"/>
      <name val="Times New Roman"/>
      <family val="1"/>
    </font>
    <font>
      <sz val="12"/>
      <name val="Times New Roman"/>
      <family val="1"/>
    </font>
    <font>
      <sz val="10"/>
      <color indexed="10"/>
      <name val="Times New Roman"/>
      <family val="1"/>
    </font>
    <font>
      <b/>
      <sz val="16"/>
      <name val="Times New Roman"/>
      <family val="1"/>
    </font>
    <font>
      <b/>
      <sz val="12"/>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10"/>
      <name val="Times New Roman"/>
      <family val="1"/>
    </font>
    <font>
      <b/>
      <sz val="10"/>
      <name val="Times New Roman"/>
      <family val="1"/>
    </font>
    <font>
      <b/>
      <sz val="10"/>
      <color indexed="10"/>
      <name val="Times New Roman"/>
      <family val="1"/>
    </font>
    <font>
      <sz val="12"/>
      <color indexed="8"/>
      <name val="Calibri"/>
      <family val="2"/>
    </font>
    <font>
      <b/>
      <sz val="14"/>
      <name val="Times New Roman"/>
      <family val="1"/>
    </font>
    <font>
      <b/>
      <sz val="14"/>
      <color indexed="8"/>
      <name val="Times New Roman"/>
      <family val="1"/>
    </font>
    <font>
      <sz val="10"/>
      <color indexed="8"/>
      <name val="Times New Roman"/>
      <family val="1"/>
    </font>
    <font>
      <b/>
      <sz val="16"/>
      <color indexed="8"/>
      <name val="Times New Roman"/>
      <family val="1"/>
    </font>
    <font>
      <b/>
      <sz val="12"/>
      <color indexed="8"/>
      <name val="Arial"/>
      <family val="2"/>
    </font>
    <font>
      <sz val="12"/>
      <name val="Calibri"/>
      <family val="2"/>
    </font>
    <font>
      <sz val="14"/>
      <color indexed="10"/>
      <name val="Times New Roman"/>
      <family val="1"/>
    </font>
    <font>
      <sz val="11"/>
      <name val="Times New Roman"/>
      <family val="1"/>
    </font>
    <font>
      <strike/>
      <sz val="14"/>
      <color indexed="10"/>
      <name val="Arial"/>
      <family val="2"/>
    </font>
    <font>
      <sz val="22"/>
      <name val="Calibri"/>
      <family val="2"/>
    </font>
    <font>
      <b/>
      <sz val="10"/>
      <name val="Calibri"/>
      <family val="2"/>
    </font>
    <font>
      <b/>
      <sz val="11"/>
      <name val="Calibri"/>
      <family val="2"/>
    </font>
    <font>
      <sz val="9"/>
      <color indexed="8"/>
      <name val="Calibri"/>
      <family val="2"/>
    </font>
    <font>
      <b/>
      <sz val="10"/>
      <color indexed="8"/>
      <name val="Times New Roman"/>
      <family val="1"/>
    </font>
    <font>
      <b/>
      <sz val="12"/>
      <color indexed="10"/>
      <name val="Times New Roman"/>
      <family val="1"/>
    </font>
    <font>
      <sz val="11"/>
      <color indexed="8"/>
      <name val="Cambria"/>
      <family val="1"/>
    </font>
    <font>
      <b/>
      <sz val="10"/>
      <color indexed="18"/>
      <name val="Cambria"/>
      <family val="1"/>
    </font>
    <font>
      <sz val="10"/>
      <name val="Cambria"/>
      <family val="1"/>
    </font>
    <font>
      <b/>
      <sz val="10"/>
      <name val="Cambria"/>
      <family val="1"/>
    </font>
    <font>
      <sz val="9"/>
      <name val="Cambria"/>
      <family val="1"/>
    </font>
    <font>
      <b/>
      <sz val="16"/>
      <color indexed="8"/>
      <name val="Cambria"/>
      <family val="1"/>
    </font>
    <font>
      <sz val="9"/>
      <color indexed="8"/>
      <name val="Cambria"/>
      <family val="1"/>
    </font>
    <font>
      <b/>
      <sz val="10"/>
      <color indexed="8"/>
      <name val="Cambria"/>
      <family val="1"/>
    </font>
    <font>
      <b/>
      <sz val="9"/>
      <color indexed="8"/>
      <name val="Cambria"/>
      <family val="1"/>
    </font>
    <font>
      <b/>
      <u val="single"/>
      <sz val="16"/>
      <name val="Cambria"/>
      <family val="1"/>
    </font>
    <font>
      <b/>
      <sz val="9"/>
      <name val="Cambria"/>
      <family val="1"/>
    </font>
    <font>
      <b/>
      <sz val="11"/>
      <color indexed="8"/>
      <name val="Cambria"/>
      <family val="1"/>
    </font>
    <font>
      <b/>
      <sz val="11"/>
      <name val="Cambria"/>
      <family val="1"/>
    </font>
    <font>
      <sz val="11"/>
      <name val="Cambria"/>
      <family val="1"/>
    </font>
    <font>
      <sz val="11"/>
      <name val="Verdana"/>
      <family val="2"/>
    </font>
    <font>
      <sz val="9"/>
      <name val="Verdana"/>
      <family val="2"/>
    </font>
    <font>
      <b/>
      <sz val="16"/>
      <name val="Verdana"/>
      <family val="2"/>
    </font>
    <font>
      <b/>
      <sz val="9"/>
      <color indexed="8"/>
      <name val="Verdana"/>
      <family val="2"/>
    </font>
    <font>
      <b/>
      <sz val="9"/>
      <name val="Verdana"/>
      <family val="2"/>
    </font>
    <font>
      <b/>
      <sz val="10"/>
      <name val="Verdana"/>
      <family val="2"/>
    </font>
    <font>
      <sz val="9"/>
      <color indexed="8"/>
      <name val="Verdana"/>
      <family val="2"/>
    </font>
    <font>
      <sz val="10"/>
      <name val="Arial"/>
      <family val="2"/>
    </font>
    <font>
      <b/>
      <sz val="15"/>
      <color indexed="54"/>
      <name val="Calibri"/>
      <family val="2"/>
    </font>
    <font>
      <b/>
      <sz val="11"/>
      <color indexed="54"/>
      <name val="Calibri"/>
      <family val="2"/>
    </font>
    <font>
      <sz val="11"/>
      <color indexed="9"/>
      <name val="Calibri"/>
      <family val="2"/>
    </font>
    <font>
      <b/>
      <sz val="18"/>
      <color indexed="54"/>
      <name val="Calibri"/>
      <family val="2"/>
    </font>
    <font>
      <sz val="11"/>
      <color indexed="53"/>
      <name val="Calibri"/>
      <family val="2"/>
    </font>
    <font>
      <b/>
      <sz val="11"/>
      <color indexed="9"/>
      <name val="Calibri"/>
      <family val="2"/>
    </font>
    <font>
      <sz val="11"/>
      <color indexed="19"/>
      <name val="Calibri"/>
      <family val="2"/>
    </font>
    <font>
      <sz val="10"/>
      <color indexed="8"/>
      <name val="Calibri"/>
      <family val="2"/>
    </font>
    <font>
      <u val="single"/>
      <sz val="11"/>
      <color indexed="20"/>
      <name val="Calibri"/>
      <family val="2"/>
    </font>
    <font>
      <u val="single"/>
      <sz val="11"/>
      <color indexed="12"/>
      <name val="Calibri"/>
      <family val="2"/>
    </font>
    <font>
      <sz val="11"/>
      <color indexed="10"/>
      <name val="Calibri"/>
      <family val="2"/>
    </font>
    <font>
      <i/>
      <sz val="11"/>
      <color indexed="23"/>
      <name val="Calibri"/>
      <family val="2"/>
    </font>
    <font>
      <sz val="10"/>
      <color indexed="8"/>
      <name val="Arial"/>
      <family val="2"/>
    </font>
    <font>
      <b/>
      <sz val="13"/>
      <color indexed="54"/>
      <name val="Calibri"/>
      <family val="2"/>
    </font>
    <font>
      <sz val="11"/>
      <color indexed="62"/>
      <name val="Calibri"/>
      <family val="2"/>
    </font>
    <font>
      <b/>
      <sz val="11"/>
      <color indexed="63"/>
      <name val="Calibri"/>
      <family val="2"/>
    </font>
    <font>
      <b/>
      <sz val="11"/>
      <color indexed="53"/>
      <name val="Calibri"/>
      <family val="2"/>
    </font>
    <font>
      <b/>
      <sz val="11"/>
      <color indexed="8"/>
      <name val="Calibri"/>
      <family val="2"/>
    </font>
    <font>
      <sz val="11"/>
      <color indexed="17"/>
      <name val="Calibri"/>
      <family val="2"/>
    </font>
    <font>
      <sz val="11"/>
      <color indexed="16"/>
      <name val="Calibri"/>
      <family val="2"/>
    </font>
    <font>
      <sz val="9"/>
      <name val="Arial"/>
      <family val="2"/>
    </font>
    <font>
      <sz val="12"/>
      <color indexed="8"/>
      <name val="Arial"/>
      <family val="2"/>
    </font>
    <font>
      <sz val="12"/>
      <name val="Arial"/>
      <family val="2"/>
    </font>
    <font>
      <vertAlign val="superscript"/>
      <sz val="11"/>
      <color indexed="8"/>
      <name val="Cambria"/>
      <family val="1"/>
    </font>
    <font>
      <vertAlign val="superscript"/>
      <sz val="9"/>
      <color indexed="8"/>
      <name val="Verdana"/>
      <family val="2"/>
    </font>
    <font>
      <sz val="11"/>
      <color theme="1"/>
      <name val="Calibri"/>
      <family val="2"/>
    </font>
    <font>
      <sz val="11"/>
      <color rgb="FFFA7D00"/>
      <name val="Calibri"/>
      <family val="2"/>
    </font>
    <font>
      <b/>
      <sz val="11"/>
      <color rgb="FFFFFFFF"/>
      <name val="Calibri"/>
      <family val="2"/>
    </font>
    <font>
      <u val="single"/>
      <sz val="11"/>
      <color rgb="FF800080"/>
      <name val="Calibri"/>
      <family val="2"/>
    </font>
    <font>
      <u val="single"/>
      <sz val="11"/>
      <color rgb="FF0000FF"/>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2"/>
      <color theme="1"/>
      <name val="Times New Roman"/>
      <family val="1"/>
    </font>
    <font>
      <sz val="11"/>
      <color theme="1"/>
      <name val="Times New Roman"/>
      <family val="1"/>
    </font>
    <font>
      <sz val="10"/>
      <color theme="1"/>
      <name val="Times New Roman"/>
      <family val="1"/>
    </font>
    <font>
      <b/>
      <sz val="10"/>
      <color theme="1"/>
      <name val="Times New Roman"/>
      <family val="1"/>
    </font>
    <font>
      <sz val="12"/>
      <color rgb="FFFF0000"/>
      <name val="Times New Roman"/>
      <family val="1"/>
    </font>
  </fonts>
  <fills count="42">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indexed="4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70">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color indexed="8"/>
      </left>
      <right style="thin">
        <color indexed="8"/>
      </right>
      <top>
        <color indexed="63"/>
      </top>
      <bottom/>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bottom/>
    </border>
    <border>
      <left>
        <color indexed="63"/>
      </left>
      <right>
        <color indexed="63"/>
      </right>
      <top style="thin">
        <color indexed="8"/>
      </top>
      <bottom style="thin">
        <color indexed="8"/>
      </bottom>
    </border>
    <border>
      <left style="thin"/>
      <right style="thin"/>
      <top style="thin"/>
      <bottom/>
    </border>
    <border>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6" fontId="50" fillId="0" borderId="0" applyFill="0" applyBorder="0" applyAlignment="0" applyProtection="0"/>
    <xf numFmtId="0" fontId="76" fillId="2" borderId="0" applyNumberFormat="0" applyBorder="0" applyAlignment="0" applyProtection="0"/>
    <xf numFmtId="9" fontId="0" fillId="0" borderId="0" applyFill="0" applyBorder="0" applyAlignment="0" applyProtection="0"/>
    <xf numFmtId="0" fontId="77" fillId="0" borderId="1" applyNumberFormat="0" applyFill="0" applyAlignment="0" applyProtection="0"/>
    <xf numFmtId="0" fontId="78" fillId="3" borderId="2" applyNumberFormat="0" applyAlignment="0" applyProtection="0"/>
    <xf numFmtId="180" fontId="50" fillId="0" borderId="0" applyFill="0" applyBorder="0" applyAlignment="0" applyProtection="0"/>
    <xf numFmtId="0" fontId="76" fillId="4" borderId="0" applyNumberFormat="0" applyBorder="0" applyAlignment="0" applyProtection="0"/>
    <xf numFmtId="179" fontId="0" fillId="0" borderId="0" applyFill="0" applyBorder="0" applyAlignment="0" applyProtection="0"/>
    <xf numFmtId="179" fontId="0" fillId="0" borderId="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58" fillId="5" borderId="3" applyNumberFormat="0" applyFont="0" applyAlignment="0" applyProtection="0"/>
    <xf numFmtId="0" fontId="76" fillId="6" borderId="0" applyNumberFormat="0" applyBorder="0" applyAlignment="0" applyProtection="0"/>
    <xf numFmtId="0" fontId="50" fillId="0" borderId="0">
      <alignment/>
      <protection/>
    </xf>
    <xf numFmtId="0" fontId="76" fillId="7"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63" fillId="0" borderId="0">
      <alignment/>
      <protection/>
    </xf>
    <xf numFmtId="0" fontId="84" fillId="0" borderId="4" applyNumberFormat="0" applyFill="0" applyAlignment="0" applyProtection="0"/>
    <xf numFmtId="0" fontId="85" fillId="8" borderId="0" applyNumberFormat="0" applyBorder="0" applyAlignment="0" applyProtection="0"/>
    <xf numFmtId="0" fontId="86" fillId="0" borderId="4" applyNumberFormat="0" applyFill="0" applyAlignment="0" applyProtection="0"/>
    <xf numFmtId="0" fontId="85" fillId="9" borderId="0" applyNumberFormat="0" applyBorder="0" applyAlignment="0" applyProtection="0"/>
    <xf numFmtId="0" fontId="87" fillId="0" borderId="5" applyNumberFormat="0" applyFill="0" applyAlignment="0" applyProtection="0"/>
    <xf numFmtId="0" fontId="85" fillId="10" borderId="0" applyNumberFormat="0" applyBorder="0" applyAlignment="0" applyProtection="0"/>
    <xf numFmtId="0" fontId="87" fillId="0" borderId="0" applyNumberFormat="0" applyFill="0" applyBorder="0" applyAlignment="0" applyProtection="0"/>
    <xf numFmtId="0" fontId="85" fillId="11" borderId="0" applyNumberFormat="0" applyBorder="0" applyAlignment="0" applyProtection="0"/>
    <xf numFmtId="0" fontId="88" fillId="12" borderId="6" applyNumberFormat="0" applyAlignment="0" applyProtection="0"/>
    <xf numFmtId="0" fontId="89" fillId="13" borderId="7" applyNumberFormat="0" applyAlignment="0" applyProtection="0"/>
    <xf numFmtId="0" fontId="90" fillId="13" borderId="6" applyNumberFormat="0" applyAlignment="0" applyProtection="0"/>
    <xf numFmtId="0" fontId="91" fillId="0" borderId="8" applyNumberFormat="0" applyFill="0" applyAlignment="0" applyProtection="0"/>
    <xf numFmtId="0" fontId="50" fillId="0" borderId="0">
      <alignment/>
      <protection/>
    </xf>
    <xf numFmtId="0" fontId="76" fillId="14" borderId="0" applyNumberFormat="0" applyBorder="0" applyAlignment="0" applyProtection="0"/>
    <xf numFmtId="0" fontId="92" fillId="15" borderId="0" applyNumberFormat="0" applyBorder="0" applyAlignment="0" applyProtection="0"/>
    <xf numFmtId="0" fontId="93" fillId="16" borderId="0" applyNumberFormat="0" applyBorder="0" applyAlignment="0" applyProtection="0"/>
    <xf numFmtId="0" fontId="94" fillId="17" borderId="0" applyNumberFormat="0" applyBorder="0" applyAlignment="0" applyProtection="0"/>
    <xf numFmtId="0" fontId="76" fillId="18" borderId="0" applyNumberFormat="0" applyBorder="0" applyAlignment="0" applyProtection="0"/>
    <xf numFmtId="0" fontId="85" fillId="19" borderId="0" applyNumberFormat="0" applyBorder="0" applyAlignment="0" applyProtection="0"/>
    <xf numFmtId="0" fontId="76" fillId="20" borderId="0" applyNumberFormat="0" applyBorder="0" applyAlignment="0" applyProtection="0"/>
    <xf numFmtId="0" fontId="85" fillId="21" borderId="0" applyNumberFormat="0" applyBorder="0" applyAlignment="0" applyProtection="0"/>
    <xf numFmtId="0" fontId="76" fillId="22" borderId="0" applyNumberFormat="0" applyBorder="0" applyAlignment="0" applyProtection="0"/>
    <xf numFmtId="0" fontId="85" fillId="23" borderId="0" applyNumberFormat="0" applyBorder="0" applyAlignment="0" applyProtection="0"/>
    <xf numFmtId="0" fontId="76" fillId="24" borderId="0" applyNumberFormat="0" applyBorder="0" applyAlignment="0" applyProtection="0"/>
    <xf numFmtId="0" fontId="85" fillId="25" borderId="0" applyNumberFormat="0" applyBorder="0" applyAlignment="0" applyProtection="0"/>
    <xf numFmtId="0" fontId="76" fillId="26" borderId="0" applyNumberFormat="0" applyBorder="0" applyAlignment="0" applyProtection="0"/>
    <xf numFmtId="0" fontId="85" fillId="27" borderId="0" applyNumberFormat="0" applyBorder="0" applyAlignment="0" applyProtection="0"/>
    <xf numFmtId="0" fontId="76" fillId="28" borderId="0" applyNumberFormat="0" applyBorder="0" applyAlignment="0" applyProtection="0"/>
    <xf numFmtId="0" fontId="85" fillId="29" borderId="0" applyNumberFormat="0" applyBorder="0" applyAlignment="0" applyProtection="0"/>
    <xf numFmtId="0" fontId="76"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0" fillId="0" borderId="0">
      <alignment/>
      <protection/>
    </xf>
    <xf numFmtId="0" fontId="50" fillId="0" borderId="0">
      <alignment/>
      <protection/>
    </xf>
    <xf numFmtId="178" fontId="0" fillId="0" borderId="0" applyFill="0" applyBorder="0" applyAlignment="0" applyProtection="0"/>
    <xf numFmtId="0" fontId="50" fillId="0" borderId="0">
      <alignment/>
      <protection/>
    </xf>
    <xf numFmtId="0" fontId="0" fillId="0" borderId="0">
      <alignment/>
      <protection/>
    </xf>
    <xf numFmtId="0" fontId="50" fillId="0" borderId="0">
      <alignment/>
      <protection/>
    </xf>
    <xf numFmtId="0" fontId="16" fillId="0" borderId="0">
      <alignment/>
      <protection/>
    </xf>
    <xf numFmtId="0" fontId="50" fillId="0" borderId="0">
      <alignment/>
      <protection/>
    </xf>
    <xf numFmtId="0" fontId="71" fillId="0" borderId="0">
      <alignment/>
      <protection/>
    </xf>
    <xf numFmtId="0" fontId="2" fillId="0" borderId="0">
      <alignment/>
      <protection/>
    </xf>
    <xf numFmtId="9" fontId="0" fillId="0" borderId="0" applyFill="0" applyBorder="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16" fillId="0" borderId="0" applyBorder="0" applyProtection="0">
      <alignment/>
    </xf>
  </cellStyleXfs>
  <cellXfs count="600">
    <xf numFmtId="0" fontId="0" fillId="0" borderId="0" xfId="0" applyAlignment="1">
      <alignment/>
    </xf>
    <xf numFmtId="0" fontId="2" fillId="33" borderId="0" xfId="0" applyFont="1" applyFill="1"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2" fillId="0" borderId="0" xfId="0" applyFont="1" applyAlignment="1">
      <alignment/>
    </xf>
    <xf numFmtId="2" fontId="2" fillId="0" borderId="0" xfId="0" applyNumberFormat="1" applyFont="1" applyAlignment="1">
      <alignment horizontal="center" vertical="center"/>
    </xf>
    <xf numFmtId="4" fontId="2" fillId="35" borderId="0" xfId="0" applyNumberFormat="1" applyFont="1" applyFill="1" applyAlignment="1">
      <alignment horizontal="center" vertical="center"/>
    </xf>
    <xf numFmtId="4" fontId="2" fillId="0" borderId="0" xfId="0" applyNumberFormat="1" applyFont="1" applyAlignment="1">
      <alignment horizontal="center" vertical="center"/>
    </xf>
    <xf numFmtId="4" fontId="4" fillId="0" borderId="0" xfId="0" applyNumberFormat="1" applyFont="1" applyFill="1" applyAlignment="1">
      <alignment/>
    </xf>
    <xf numFmtId="0" fontId="2" fillId="0" borderId="0" xfId="0" applyFont="1" applyFill="1" applyAlignment="1">
      <alignment/>
    </xf>
    <xf numFmtId="0" fontId="2" fillId="33" borderId="9" xfId="0" applyFont="1" applyFill="1" applyBorder="1" applyAlignment="1">
      <alignment/>
    </xf>
    <xf numFmtId="0" fontId="2" fillId="33" borderId="10" xfId="0" applyFont="1" applyFill="1" applyBorder="1" applyAlignment="1">
      <alignment/>
    </xf>
    <xf numFmtId="2" fontId="2"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4" fontId="2" fillId="33" borderId="11" xfId="0" applyNumberFormat="1" applyFont="1" applyFill="1" applyBorder="1" applyAlignment="1">
      <alignment horizontal="center" vertical="center"/>
    </xf>
    <xf numFmtId="4" fontId="5"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xf>
    <xf numFmtId="4" fontId="3" fillId="0" borderId="14" xfId="0" applyNumberFormat="1" applyFont="1" applyBorder="1" applyAlignment="1" applyProtection="1">
      <alignment horizontal="left" vertical="center" wrapText="1"/>
      <protection locked="0"/>
    </xf>
    <xf numFmtId="4" fontId="5" fillId="36" borderId="15"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7" fillId="33" borderId="13" xfId="0" applyFont="1" applyFill="1" applyBorder="1" applyAlignment="1">
      <alignment horizontal="center" vertical="center"/>
    </xf>
    <xf numFmtId="10" fontId="7" fillId="33"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37" borderId="13" xfId="67" applyFont="1" applyFill="1" applyBorder="1" applyAlignment="1">
      <alignment horizontal="center" vertical="center" wrapText="1"/>
      <protection/>
    </xf>
    <xf numFmtId="0" fontId="6" fillId="37" borderId="14" xfId="67" applyFont="1" applyFill="1" applyBorder="1" applyAlignment="1">
      <alignment horizontal="left" vertical="center" wrapText="1"/>
      <protection/>
    </xf>
    <xf numFmtId="49"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0" fontId="3" fillId="33" borderId="16" xfId="0" applyFont="1" applyFill="1" applyBorder="1" applyAlignment="1">
      <alignment horizontal="center" vertical="center" wrapText="1"/>
    </xf>
    <xf numFmtId="4" fontId="3" fillId="33" borderId="16" xfId="0" applyNumberFormat="1" applyFont="1" applyFill="1" applyBorder="1" applyAlignment="1">
      <alignment horizontal="center" vertical="center" wrapText="1"/>
    </xf>
    <xf numFmtId="182" fontId="3" fillId="0" borderId="13" xfId="0" applyNumberFormat="1" applyFont="1" applyFill="1" applyBorder="1" applyAlignment="1">
      <alignment horizontal="center" vertical="center"/>
    </xf>
    <xf numFmtId="182" fontId="3" fillId="33" borderId="13" xfId="0" applyNumberFormat="1" applyFont="1" applyFill="1" applyBorder="1" applyAlignment="1">
      <alignment horizontal="center" vertical="center"/>
    </xf>
    <xf numFmtId="0" fontId="6" fillId="33" borderId="13" xfId="0" applyFont="1" applyFill="1" applyBorder="1" applyAlignment="1">
      <alignment horizontal="right" vertical="center"/>
    </xf>
    <xf numFmtId="182" fontId="6" fillId="33" borderId="13" xfId="0" applyNumberFormat="1" applyFont="1" applyFill="1" applyBorder="1" applyAlignment="1">
      <alignment horizontal="center" vertical="center"/>
    </xf>
    <xf numFmtId="0" fontId="3" fillId="0" borderId="13" xfId="0" applyNumberFormat="1" applyFont="1" applyFill="1" applyBorder="1" applyAlignment="1" applyProtection="1">
      <alignment horizontal="center" vertical="center" wrapText="1"/>
      <protection/>
    </xf>
    <xf numFmtId="177" fontId="3" fillId="0" borderId="13" xfId="15" applyFont="1" applyFill="1" applyBorder="1" applyAlignment="1" applyProtection="1">
      <alignment horizontal="justify" vertical="center" wrapText="1"/>
      <protection/>
    </xf>
    <xf numFmtId="0" fontId="3" fillId="0" borderId="13" xfId="0" applyFont="1" applyFill="1" applyBorder="1" applyAlignment="1">
      <alignment horizontal="center" vertical="center" wrapText="1"/>
    </xf>
    <xf numFmtId="4" fontId="3" fillId="0" borderId="13" xfId="0" applyNumberFormat="1" applyFont="1" applyFill="1" applyBorder="1" applyAlignment="1">
      <alignment horizontal="center" vertical="center"/>
    </xf>
    <xf numFmtId="182" fontId="3" fillId="0" borderId="13" xfId="15" applyNumberFormat="1" applyFont="1" applyFill="1" applyBorder="1" applyAlignment="1" applyProtection="1">
      <alignment horizontal="center" vertical="center"/>
      <protection/>
    </xf>
    <xf numFmtId="49" fontId="3" fillId="0" borderId="13" xfId="0" applyNumberFormat="1" applyFont="1" applyFill="1" applyBorder="1" applyAlignment="1">
      <alignment horizontal="center" vertical="center" wrapText="1"/>
    </xf>
    <xf numFmtId="177" fontId="3" fillId="0" borderId="13" xfId="0" applyNumberFormat="1" applyFont="1" applyFill="1" applyBorder="1" applyAlignment="1" applyProtection="1">
      <alignment horizontal="left" vertical="center" wrapText="1"/>
      <protection/>
    </xf>
    <xf numFmtId="177" fontId="3" fillId="0" borderId="13" xfId="15" applyFont="1" applyFill="1" applyBorder="1" applyAlignment="1" applyProtection="1">
      <alignment horizontal="center" vertical="center" wrapText="1"/>
      <protection/>
    </xf>
    <xf numFmtId="0" fontId="3" fillId="0" borderId="13" xfId="15" applyNumberFormat="1" applyFont="1" applyFill="1" applyBorder="1" applyAlignment="1" applyProtection="1">
      <alignment horizontal="left" vertical="center" wrapText="1"/>
      <protection/>
    </xf>
    <xf numFmtId="0" fontId="3"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9" fillId="0" borderId="13" xfId="0" applyFont="1" applyFill="1" applyBorder="1" applyAlignment="1">
      <alignment horizontal="justify" vertical="center" wrapText="1"/>
    </xf>
    <xf numFmtId="2" fontId="3" fillId="0" borderId="13" xfId="0" applyNumberFormat="1" applyFont="1" applyFill="1" applyBorder="1" applyAlignment="1">
      <alignment horizontal="center" vertical="center"/>
    </xf>
    <xf numFmtId="0" fontId="9" fillId="0" borderId="13" xfId="0" applyFont="1" applyFill="1" applyBorder="1" applyAlignment="1">
      <alignment horizontal="justify" vertical="center"/>
    </xf>
    <xf numFmtId="182" fontId="6" fillId="33" borderId="15" xfId="0" applyNumberFormat="1" applyFont="1" applyFill="1" applyBorder="1" applyAlignment="1">
      <alignment horizontal="center" vertical="center"/>
    </xf>
    <xf numFmtId="0" fontId="6" fillId="37" borderId="13" xfId="67" applyFont="1" applyFill="1" applyBorder="1" applyAlignment="1">
      <alignment horizontal="left" vertical="center" wrapText="1"/>
      <protection/>
    </xf>
    <xf numFmtId="0" fontId="9" fillId="0" borderId="13" xfId="0" applyFont="1" applyFill="1" applyBorder="1" applyAlignment="1">
      <alignment horizontal="left" vertical="center" wrapText="1"/>
    </xf>
    <xf numFmtId="0" fontId="3" fillId="0" borderId="13" xfId="67" applyFont="1" applyFill="1" applyBorder="1" applyAlignment="1">
      <alignment horizontal="center" vertical="center"/>
      <protection/>
    </xf>
    <xf numFmtId="2" fontId="3" fillId="0" borderId="13" xfId="15" applyNumberFormat="1" applyFont="1" applyFill="1" applyBorder="1" applyAlignment="1" applyProtection="1">
      <alignment horizontal="center" vertical="center"/>
      <protection/>
    </xf>
    <xf numFmtId="3" fontId="8"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 fillId="0" borderId="13" xfId="0" applyFont="1" applyFill="1" applyBorder="1" applyAlignment="1">
      <alignment horizontal="left" wrapText="1"/>
    </xf>
    <xf numFmtId="4" fontId="4" fillId="33" borderId="0" xfId="0" applyNumberFormat="1" applyFont="1" applyFill="1" applyAlignment="1">
      <alignment/>
    </xf>
    <xf numFmtId="4" fontId="10" fillId="0" borderId="0" xfId="0" applyNumberFormat="1" applyFont="1" applyFill="1" applyBorder="1" applyAlignment="1">
      <alignment/>
    </xf>
    <xf numFmtId="0" fontId="3" fillId="0" borderId="0" xfId="0" applyFont="1" applyFill="1" applyBorder="1" applyAlignment="1">
      <alignment/>
    </xf>
    <xf numFmtId="0" fontId="2" fillId="0" borderId="0" xfId="0" applyFont="1" applyAlignment="1">
      <alignment horizontal="center" vertical="center"/>
    </xf>
    <xf numFmtId="4" fontId="10"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183" fontId="3" fillId="0" borderId="0" xfId="0" applyNumberFormat="1" applyFont="1" applyFill="1" applyBorder="1" applyAlignment="1">
      <alignment horizontal="center" vertical="center"/>
    </xf>
    <xf numFmtId="2" fontId="3" fillId="0" borderId="0" xfId="0" applyNumberFormat="1" applyFont="1" applyFill="1" applyBorder="1" applyAlignment="1">
      <alignment vertical="center"/>
    </xf>
    <xf numFmtId="4" fontId="4" fillId="0" borderId="0" xfId="0" applyNumberFormat="1" applyFont="1" applyFill="1" applyBorder="1" applyAlignment="1">
      <alignment horizontal="center" vertical="center"/>
    </xf>
    <xf numFmtId="4"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0" fontId="4" fillId="0" borderId="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2" fontId="2" fillId="0" borderId="0" xfId="0" applyNumberFormat="1" applyFont="1" applyFill="1" applyBorder="1" applyAlignment="1">
      <alignment vertical="center"/>
    </xf>
    <xf numFmtId="0" fontId="2" fillId="0" borderId="0" xfId="0" applyFont="1" applyFill="1" applyAlignment="1">
      <alignment horizontal="center" vertical="center"/>
    </xf>
    <xf numFmtId="4" fontId="2" fillId="0" borderId="0" xfId="0" applyNumberFormat="1" applyFont="1" applyFill="1" applyBorder="1" applyAlignment="1">
      <alignment horizontal="center" vertical="center"/>
    </xf>
    <xf numFmtId="4" fontId="11" fillId="0" borderId="0" xfId="0" applyNumberFormat="1" applyFont="1" applyBorder="1" applyAlignment="1">
      <alignment horizontal="center" vertical="center"/>
    </xf>
    <xf numFmtId="177" fontId="2" fillId="0" borderId="0" xfId="15" applyFont="1" applyFill="1" applyBorder="1" applyAlignment="1" applyProtection="1">
      <alignment horizontal="right" vertical="center"/>
      <protection/>
    </xf>
    <xf numFmtId="4" fontId="4"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xf>
    <xf numFmtId="0" fontId="3" fillId="0" borderId="0" xfId="0" applyFont="1" applyFill="1" applyAlignment="1">
      <alignment/>
    </xf>
    <xf numFmtId="181" fontId="2" fillId="0" borderId="0" xfId="0" applyNumberFormat="1" applyFont="1" applyFill="1" applyBorder="1" applyAlignment="1">
      <alignment vertical="center"/>
    </xf>
    <xf numFmtId="3" fontId="3" fillId="0" borderId="13" xfId="0" applyNumberFormat="1" applyFont="1" applyFill="1" applyBorder="1" applyAlignment="1">
      <alignment horizontal="center" vertical="center" wrapText="1"/>
    </xf>
    <xf numFmtId="0" fontId="7" fillId="33" borderId="17" xfId="0" applyFont="1" applyFill="1" applyBorder="1" applyAlignment="1">
      <alignment horizontal="justify" vertical="center"/>
    </xf>
    <xf numFmtId="0" fontId="7" fillId="33" borderId="18" xfId="0" applyFont="1" applyFill="1" applyBorder="1" applyAlignment="1">
      <alignment horizontal="center" vertical="center"/>
    </xf>
    <xf numFmtId="182" fontId="6" fillId="33" borderId="18" xfId="0" applyNumberFormat="1" applyFont="1" applyFill="1" applyBorder="1" applyAlignment="1">
      <alignment horizontal="center" vertical="center"/>
    </xf>
    <xf numFmtId="184" fontId="7" fillId="33" borderId="19" xfId="0" applyNumberFormat="1"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16" xfId="0" applyNumberFormat="1" applyFont="1" applyFill="1" applyBorder="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xf>
    <xf numFmtId="4" fontId="4" fillId="0" borderId="0" xfId="0" applyNumberFormat="1" applyFont="1" applyFill="1" applyBorder="1" applyAlignment="1">
      <alignment/>
    </xf>
    <xf numFmtId="0" fontId="13" fillId="0" borderId="0" xfId="0" applyFont="1" applyAlignment="1">
      <alignment/>
    </xf>
    <xf numFmtId="4" fontId="14" fillId="0" borderId="15" xfId="0" applyNumberFormat="1" applyFont="1" applyFill="1" applyBorder="1" applyAlignment="1">
      <alignment horizontal="center" wrapText="1"/>
    </xf>
    <xf numFmtId="4" fontId="14" fillId="0" borderId="16" xfId="0" applyNumberFormat="1" applyFont="1" applyFill="1" applyBorder="1" applyAlignment="1">
      <alignment horizontal="center" vertical="top" wrapText="1"/>
    </xf>
    <xf numFmtId="0" fontId="15" fillId="38"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37" borderId="13" xfId="0" applyFont="1" applyFill="1" applyBorder="1" applyAlignment="1">
      <alignment horizontal="center" vertical="center" wrapText="1"/>
    </xf>
    <xf numFmtId="0" fontId="8" fillId="37" borderId="13" xfId="0" applyFont="1" applyFill="1" applyBorder="1" applyAlignment="1">
      <alignment horizontal="center" vertical="center"/>
    </xf>
    <xf numFmtId="185" fontId="8" fillId="37" borderId="13" xfId="0" applyNumberFormat="1" applyFont="1" applyFill="1" applyBorder="1" applyAlignment="1">
      <alignment horizontal="center" vertical="center" wrapText="1"/>
    </xf>
    <xf numFmtId="0" fontId="8" fillId="33" borderId="13" xfId="0" applyFont="1" applyFill="1" applyBorder="1" applyAlignment="1">
      <alignment horizontal="center" vertical="center"/>
    </xf>
    <xf numFmtId="2" fontId="8" fillId="33" borderId="13"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0" fontId="7" fillId="37" borderId="13" xfId="0" applyFont="1" applyFill="1" applyBorder="1" applyAlignment="1">
      <alignment horizontal="center" vertical="center"/>
    </xf>
    <xf numFmtId="185" fontId="7" fillId="37" borderId="13" xfId="0" applyNumberFormat="1" applyFont="1" applyFill="1" applyBorder="1" applyAlignment="1">
      <alignment horizontal="center" vertical="center"/>
    </xf>
    <xf numFmtId="9" fontId="0" fillId="0" borderId="0" xfId="0" applyNumberFormat="1" applyAlignment="1">
      <alignment/>
    </xf>
    <xf numFmtId="9" fontId="0" fillId="0" borderId="0" xfId="0" applyNumberFormat="1" applyFont="1" applyFill="1" applyBorder="1" applyAlignment="1" applyProtection="1">
      <alignment/>
      <protection/>
    </xf>
    <xf numFmtId="186" fontId="0" fillId="0" borderId="0" xfId="0" applyNumberFormat="1" applyAlignment="1">
      <alignment/>
    </xf>
    <xf numFmtId="187" fontId="0" fillId="0" borderId="0" xfId="0" applyNumberFormat="1" applyAlignment="1">
      <alignment/>
    </xf>
    <xf numFmtId="9" fontId="13" fillId="0" borderId="0" xfId="0" applyNumberFormat="1" applyFont="1" applyFill="1" applyBorder="1" applyAlignment="1" applyProtection="1">
      <alignment/>
      <protection/>
    </xf>
    <xf numFmtId="188" fontId="13" fillId="0" borderId="0" xfId="0" applyNumberFormat="1" applyFont="1" applyAlignment="1">
      <alignment/>
    </xf>
    <xf numFmtId="0" fontId="16" fillId="0" borderId="0" xfId="73">
      <alignment/>
      <protection/>
    </xf>
    <xf numFmtId="0" fontId="5" fillId="0" borderId="15" xfId="73" applyFont="1" applyBorder="1" applyAlignment="1">
      <alignment horizontal="center"/>
      <protection/>
    </xf>
    <xf numFmtId="0" fontId="5" fillId="0" borderId="12" xfId="73" applyFont="1" applyBorder="1" applyAlignment="1">
      <alignment horizontal="center" vertical="center"/>
      <protection/>
    </xf>
    <xf numFmtId="0" fontId="6" fillId="0" borderId="13" xfId="73" applyFont="1" applyBorder="1" applyAlignment="1">
      <alignment horizontal="center" vertical="center"/>
      <protection/>
    </xf>
    <xf numFmtId="4" fontId="3" fillId="0" borderId="13" xfId="73" applyNumberFormat="1" applyFont="1" applyBorder="1" applyAlignment="1">
      <alignment horizontal="left" vertical="center" wrapText="1"/>
      <protection/>
    </xf>
    <xf numFmtId="0" fontId="3" fillId="0" borderId="13" xfId="73" applyFont="1" applyBorder="1" applyAlignment="1">
      <alignment horizontal="left" vertical="center" wrapText="1"/>
      <protection/>
    </xf>
    <xf numFmtId="4" fontId="5" fillId="36" borderId="13" xfId="0" applyNumberFormat="1" applyFont="1" applyFill="1" applyBorder="1" applyAlignment="1">
      <alignment horizontal="center" vertical="center" wrapText="1"/>
    </xf>
    <xf numFmtId="0" fontId="7" fillId="0" borderId="16" xfId="73" applyFont="1" applyBorder="1" applyAlignment="1">
      <alignment horizontal="center" vertical="center"/>
      <protection/>
    </xf>
    <xf numFmtId="0" fontId="7" fillId="0" borderId="13" xfId="73" applyFont="1" applyBorder="1" applyAlignment="1">
      <alignment horizontal="center" vertical="center"/>
      <protection/>
    </xf>
    <xf numFmtId="0" fontId="8" fillId="0" borderId="13" xfId="73" applyFont="1" applyBorder="1" applyAlignment="1">
      <alignment horizontal="center" vertical="center"/>
      <protection/>
    </xf>
    <xf numFmtId="10" fontId="8" fillId="0" borderId="13" xfId="83" applyNumberFormat="1" applyFont="1" applyBorder="1" applyAlignment="1" applyProtection="1">
      <alignment horizontal="center" vertical="center"/>
      <protection/>
    </xf>
    <xf numFmtId="0" fontId="7" fillId="0" borderId="13" xfId="73" applyFont="1" applyBorder="1" applyAlignment="1">
      <alignment horizontal="center" vertical="center" wrapText="1"/>
      <protection/>
    </xf>
    <xf numFmtId="0" fontId="17" fillId="37" borderId="13" xfId="73" applyFont="1" applyFill="1" applyBorder="1" applyAlignment="1">
      <alignment horizontal="center" vertical="center"/>
      <protection/>
    </xf>
    <xf numFmtId="2" fontId="17" fillId="37" borderId="13" xfId="83" applyNumberFormat="1" applyFont="1" applyFill="1" applyBorder="1" applyAlignment="1" applyProtection="1">
      <alignment horizontal="center" vertical="center"/>
      <protection/>
    </xf>
    <xf numFmtId="0" fontId="8" fillId="33" borderId="12" xfId="73" applyFont="1" applyFill="1" applyBorder="1" applyAlignment="1">
      <alignment horizontal="center" vertical="center" wrapText="1"/>
      <protection/>
    </xf>
    <xf numFmtId="0" fontId="8" fillId="33" borderId="20" xfId="73" applyFont="1" applyFill="1" applyBorder="1" applyAlignment="1">
      <alignment wrapText="1"/>
      <protection/>
    </xf>
    <xf numFmtId="0" fontId="8" fillId="33" borderId="0" xfId="73" applyFont="1" applyFill="1" applyBorder="1" applyAlignment="1">
      <alignment wrapText="1"/>
      <protection/>
    </xf>
    <xf numFmtId="0" fontId="8" fillId="33" borderId="21" xfId="73" applyFont="1" applyFill="1" applyBorder="1" applyAlignment="1">
      <alignment wrapText="1"/>
      <protection/>
    </xf>
    <xf numFmtId="0" fontId="16" fillId="0" borderId="22" xfId="73" applyBorder="1">
      <alignment/>
      <protection/>
    </xf>
    <xf numFmtId="0" fontId="16" fillId="0" borderId="23" xfId="73" applyBorder="1">
      <alignment/>
      <protection/>
    </xf>
    <xf numFmtId="0" fontId="16" fillId="0" borderId="24" xfId="73" applyBorder="1">
      <alignment/>
      <protection/>
    </xf>
    <xf numFmtId="0" fontId="18" fillId="0" borderId="0" xfId="73" applyFont="1" applyAlignment="1">
      <alignment horizontal="center" wrapText="1"/>
      <protection/>
    </xf>
    <xf numFmtId="0" fontId="18" fillId="0" borderId="0" xfId="73" applyFont="1" applyAlignment="1">
      <alignment horizontal="center" vertical="center"/>
      <protection/>
    </xf>
    <xf numFmtId="0" fontId="3" fillId="34" borderId="0" xfId="0" applyFont="1" applyFill="1" applyAlignment="1">
      <alignment vertical="center"/>
    </xf>
    <xf numFmtId="0" fontId="8"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xf>
    <xf numFmtId="4" fontId="3" fillId="0" borderId="13" xfId="0" applyNumberFormat="1" applyFont="1" applyBorder="1" applyAlignment="1" applyProtection="1">
      <alignment horizontal="left" vertical="center" wrapText="1"/>
      <protection locked="0"/>
    </xf>
    <xf numFmtId="0" fontId="7" fillId="36" borderId="13" xfId="0" applyFont="1" applyFill="1" applyBorder="1" applyAlignment="1">
      <alignment horizontal="center" vertical="center"/>
    </xf>
    <xf numFmtId="189" fontId="6" fillId="37" borderId="13" xfId="67" applyNumberFormat="1" applyFont="1" applyFill="1" applyBorder="1" applyAlignment="1">
      <alignment horizontal="center" vertical="center" wrapText="1"/>
      <protection/>
    </xf>
    <xf numFmtId="182" fontId="3" fillId="33" borderId="16" xfId="0" applyNumberFormat="1" applyFont="1" applyFill="1" applyBorder="1" applyAlignment="1">
      <alignment horizontal="center" vertical="center" wrapText="1"/>
    </xf>
    <xf numFmtId="0" fontId="3" fillId="33" borderId="0" xfId="0" applyFont="1" applyFill="1" applyAlignment="1">
      <alignment vertical="center"/>
    </xf>
    <xf numFmtId="0" fontId="6" fillId="37" borderId="25" xfId="67" applyFont="1" applyFill="1" applyBorder="1" applyAlignment="1">
      <alignment horizontal="right" vertical="center" wrapText="1"/>
      <protection/>
    </xf>
    <xf numFmtId="189" fontId="3" fillId="0" borderId="0" xfId="0" applyNumberFormat="1" applyFont="1" applyAlignment="1">
      <alignment vertical="center"/>
    </xf>
    <xf numFmtId="189" fontId="8" fillId="0" borderId="0" xfId="0" applyNumberFormat="1" applyFont="1" applyAlignment="1">
      <alignment/>
    </xf>
    <xf numFmtId="0" fontId="19"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9"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xf>
    <xf numFmtId="0" fontId="1" fillId="0" borderId="0" xfId="0" applyFont="1" applyFill="1" applyBorder="1" applyAlignment="1">
      <alignment horizontal="justify"/>
    </xf>
    <xf numFmtId="2" fontId="1" fillId="0" borderId="0" xfId="0" applyNumberFormat="1" applyFont="1" applyFill="1" applyBorder="1" applyAlignment="1">
      <alignment horizontal="center"/>
    </xf>
    <xf numFmtId="190" fontId="1" fillId="0" borderId="0" xfId="0" applyNumberFormat="1" applyFont="1" applyFill="1" applyBorder="1" applyAlignment="1">
      <alignment horizontal="center" vertical="center"/>
    </xf>
    <xf numFmtId="10" fontId="1" fillId="0" borderId="0" xfId="0" applyNumberFormat="1" applyFont="1" applyFill="1" applyBorder="1" applyAlignment="1">
      <alignment/>
    </xf>
    <xf numFmtId="185" fontId="20" fillId="0" borderId="0" xfId="0" applyNumberFormat="1" applyFont="1" applyFill="1" applyBorder="1" applyAlignment="1">
      <alignment horizontal="right"/>
    </xf>
    <xf numFmtId="4" fontId="1" fillId="0" borderId="0" xfId="0" applyNumberFormat="1" applyFont="1" applyFill="1" applyBorder="1" applyAlignment="1">
      <alignment/>
    </xf>
    <xf numFmtId="4" fontId="5" fillId="0" borderId="17" xfId="0" applyNumberFormat="1" applyFont="1" applyFill="1" applyBorder="1" applyAlignment="1">
      <alignment horizontal="center" wrapText="1"/>
    </xf>
    <xf numFmtId="4" fontId="5" fillId="0" borderId="17" xfId="0" applyNumberFormat="1" applyFont="1" applyFill="1" applyBorder="1" applyAlignment="1">
      <alignment horizontal="justify" wrapText="1"/>
    </xf>
    <xf numFmtId="4" fontId="5" fillId="0" borderId="26" xfId="0" applyNumberFormat="1" applyFont="1" applyFill="1" applyBorder="1" applyAlignment="1">
      <alignment horizontal="center" vertical="center" wrapText="1"/>
    </xf>
    <xf numFmtId="4" fontId="5" fillId="0" borderId="26" xfId="0" applyNumberFormat="1" applyFont="1" applyFill="1" applyBorder="1" applyAlignment="1">
      <alignment horizontal="justify" vertical="center" wrapText="1"/>
    </xf>
    <xf numFmtId="49" fontId="6" fillId="0" borderId="26" xfId="0" applyNumberFormat="1" applyFont="1" applyFill="1" applyBorder="1" applyAlignment="1">
      <alignment horizontal="center" vertical="center"/>
    </xf>
    <xf numFmtId="4" fontId="3" fillId="0" borderId="26" xfId="0" applyNumberFormat="1" applyFont="1" applyFill="1" applyBorder="1" applyAlignment="1" applyProtection="1">
      <alignment horizontal="justify" vertical="center" wrapText="1"/>
      <protection locked="0"/>
    </xf>
    <xf numFmtId="4" fontId="3" fillId="0" borderId="26"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lignment horizontal="center" vertical="center"/>
    </xf>
    <xf numFmtId="4" fontId="3" fillId="0" borderId="13" xfId="0" applyNumberFormat="1" applyFont="1" applyFill="1" applyBorder="1" applyAlignment="1" applyProtection="1">
      <alignment horizontal="justify" vertical="center" wrapText="1"/>
      <protection locked="0"/>
    </xf>
    <xf numFmtId="4" fontId="3" fillId="0" borderId="13" xfId="0" applyNumberFormat="1" applyFont="1" applyFill="1" applyBorder="1" applyAlignment="1" applyProtection="1">
      <alignment horizontal="left" vertical="center" wrapText="1"/>
      <protection locked="0"/>
    </xf>
    <xf numFmtId="4" fontId="5" fillId="36" borderId="13" xfId="0" applyNumberFormat="1" applyFont="1" applyFill="1" applyBorder="1" applyAlignment="1">
      <alignment horizontal="justify" vertical="center" wrapText="1"/>
    </xf>
    <xf numFmtId="0" fontId="6" fillId="37" borderId="27" xfId="0" applyFont="1" applyFill="1" applyBorder="1" applyAlignment="1">
      <alignment horizontal="center" vertical="center" wrapText="1"/>
    </xf>
    <xf numFmtId="0" fontId="6" fillId="37" borderId="13" xfId="0" applyFont="1" applyFill="1" applyBorder="1" applyAlignment="1">
      <alignment horizontal="center" vertical="center" wrapText="1"/>
    </xf>
    <xf numFmtId="190" fontId="6" fillId="37" borderId="13" xfId="0" applyNumberFormat="1" applyFont="1" applyFill="1" applyBorder="1" applyAlignment="1">
      <alignment horizontal="center" vertical="center"/>
    </xf>
    <xf numFmtId="10" fontId="6" fillId="37" borderId="13" xfId="0" applyNumberFormat="1" applyFont="1" applyFill="1" applyBorder="1" applyAlignment="1">
      <alignment horizontal="center" vertical="center"/>
    </xf>
    <xf numFmtId="2" fontId="6" fillId="37" borderId="13" xfId="0" applyNumberFormat="1" applyFont="1" applyFill="1" applyBorder="1" applyAlignment="1">
      <alignment horizontal="center" vertical="center" wrapText="1"/>
    </xf>
    <xf numFmtId="190" fontId="6" fillId="37" borderId="13" xfId="0" applyNumberFormat="1" applyFont="1" applyFill="1" applyBorder="1" applyAlignment="1">
      <alignment horizontal="center" vertical="center" wrapText="1"/>
    </xf>
    <xf numFmtId="0" fontId="6" fillId="37" borderId="17" xfId="0" applyFont="1" applyFill="1" applyBorder="1" applyAlignment="1">
      <alignment horizontal="center" vertical="center" wrapText="1"/>
    </xf>
    <xf numFmtId="2" fontId="6" fillId="37" borderId="17" xfId="0" applyNumberFormat="1" applyFont="1" applyFill="1" applyBorder="1" applyAlignment="1">
      <alignment horizontal="center" vertical="center" wrapText="1"/>
    </xf>
    <xf numFmtId="0" fontId="3" fillId="39" borderId="27" xfId="0" applyFont="1" applyFill="1" applyBorder="1" applyAlignment="1">
      <alignment horizontal="center" vertical="center"/>
    </xf>
    <xf numFmtId="0" fontId="3" fillId="39" borderId="17" xfId="0" applyFont="1" applyFill="1" applyBorder="1" applyAlignment="1">
      <alignment horizontal="center" vertical="center" wrapText="1"/>
    </xf>
    <xf numFmtId="0" fontId="3" fillId="39" borderId="28" xfId="0" applyFont="1" applyFill="1" applyBorder="1" applyAlignment="1">
      <alignment horizontal="justify" vertical="center" wrapText="1"/>
    </xf>
    <xf numFmtId="0" fontId="3" fillId="39" borderId="19" xfId="0" applyFont="1" applyFill="1" applyBorder="1" applyAlignment="1">
      <alignment horizontal="center" vertical="center"/>
    </xf>
    <xf numFmtId="2" fontId="3" fillId="39" borderId="19" xfId="0" applyNumberFormat="1" applyFont="1" applyFill="1" applyBorder="1" applyAlignment="1">
      <alignment horizontal="center" vertical="center"/>
    </xf>
    <xf numFmtId="182" fontId="3" fillId="39" borderId="29" xfId="0" applyNumberFormat="1" applyFont="1" applyFill="1" applyBorder="1" applyAlignment="1">
      <alignment horizontal="center" vertical="center"/>
    </xf>
    <xf numFmtId="182" fontId="3" fillId="39" borderId="17" xfId="0" applyNumberFormat="1" applyFont="1" applyFill="1" applyBorder="1" applyAlignment="1">
      <alignment horizontal="center" vertical="center"/>
    </xf>
    <xf numFmtId="0" fontId="3" fillId="39" borderId="13" xfId="0" applyNumberFormat="1" applyFont="1" applyFill="1" applyBorder="1" applyAlignment="1" applyProtection="1">
      <alignment horizontal="center" vertical="center" wrapText="1"/>
      <protection/>
    </xf>
    <xf numFmtId="0" fontId="21" fillId="39" borderId="17" xfId="0" applyFont="1" applyFill="1" applyBorder="1" applyAlignment="1">
      <alignment horizontal="justify" vertical="center" wrapText="1"/>
    </xf>
    <xf numFmtId="0" fontId="3" fillId="39" borderId="30" xfId="67" applyFont="1" applyFill="1" applyBorder="1" applyAlignment="1">
      <alignment horizontal="center" vertical="center"/>
      <protection/>
    </xf>
    <xf numFmtId="2" fontId="3" fillId="39" borderId="30" xfId="15" applyNumberFormat="1" applyFont="1" applyFill="1" applyBorder="1" applyAlignment="1" applyProtection="1">
      <alignment horizontal="center" vertical="center"/>
      <protection/>
    </xf>
    <xf numFmtId="182" fontId="3" fillId="39" borderId="17" xfId="15" applyNumberFormat="1" applyFont="1" applyFill="1" applyBorder="1" applyAlignment="1" applyProtection="1">
      <alignment horizontal="center" vertical="center"/>
      <protection/>
    </xf>
    <xf numFmtId="0" fontId="3" fillId="39" borderId="13" xfId="0" applyFont="1" applyFill="1" applyBorder="1" applyAlignment="1">
      <alignment horizontal="center" vertical="center" wrapText="1"/>
    </xf>
    <xf numFmtId="0" fontId="21" fillId="39" borderId="13" xfId="0" applyFont="1" applyFill="1" applyBorder="1" applyAlignment="1">
      <alignment horizontal="justify" vertical="center" wrapText="1"/>
    </xf>
    <xf numFmtId="0" fontId="3" fillId="39" borderId="13" xfId="0" applyFont="1" applyFill="1" applyBorder="1" applyAlignment="1">
      <alignment horizontal="center" vertical="center"/>
    </xf>
    <xf numFmtId="2" fontId="3" fillId="39" borderId="13" xfId="15" applyNumberFormat="1" applyFont="1" applyFill="1" applyBorder="1" applyAlignment="1" applyProtection="1">
      <alignment horizontal="center" vertical="center"/>
      <protection/>
    </xf>
    <xf numFmtId="182" fontId="3" fillId="39" borderId="13" xfId="15" applyNumberFormat="1" applyFont="1" applyFill="1" applyBorder="1" applyAlignment="1" applyProtection="1">
      <alignment horizontal="center" vertical="center"/>
      <protection/>
    </xf>
    <xf numFmtId="182" fontId="3" fillId="39" borderId="13" xfId="0" applyNumberFormat="1" applyFont="1" applyFill="1" applyBorder="1" applyAlignment="1">
      <alignment horizontal="center" vertical="center"/>
    </xf>
    <xf numFmtId="49" fontId="3" fillId="39" borderId="13" xfId="0" applyNumberFormat="1" applyFont="1" applyFill="1" applyBorder="1" applyAlignment="1">
      <alignment horizontal="center" vertical="center" wrapText="1"/>
    </xf>
    <xf numFmtId="0" fontId="3" fillId="40" borderId="13" xfId="0" applyNumberFormat="1" applyFont="1" applyFill="1" applyBorder="1" applyAlignment="1" applyProtection="1">
      <alignment horizontal="center" vertical="center" wrapText="1"/>
      <protection/>
    </xf>
    <xf numFmtId="177" fontId="3" fillId="40" borderId="13" xfId="15" applyFont="1" applyFill="1" applyBorder="1" applyAlignment="1" applyProtection="1">
      <alignment horizontal="justify" vertical="center" wrapText="1"/>
      <protection/>
    </xf>
    <xf numFmtId="0" fontId="3" fillId="40" borderId="13" xfId="0" applyFont="1" applyFill="1" applyBorder="1" applyAlignment="1">
      <alignment horizontal="center" vertical="center" wrapText="1"/>
    </xf>
    <xf numFmtId="4" fontId="3" fillId="40" borderId="13" xfId="0" applyNumberFormat="1" applyFont="1" applyFill="1" applyBorder="1" applyAlignment="1">
      <alignment horizontal="center" vertical="center"/>
    </xf>
    <xf numFmtId="182" fontId="3" fillId="40" borderId="13" xfId="0" applyNumberFormat="1" applyFont="1" applyFill="1" applyBorder="1" applyAlignment="1">
      <alignment horizontal="center" vertical="center"/>
    </xf>
    <xf numFmtId="0" fontId="3" fillId="39" borderId="13" xfId="0" applyFont="1" applyFill="1" applyBorder="1" applyAlignment="1">
      <alignment horizontal="justify" vertical="center" wrapText="1"/>
    </xf>
    <xf numFmtId="2" fontId="3" fillId="39" borderId="13" xfId="0" applyNumberFormat="1" applyFont="1" applyFill="1" applyBorder="1" applyAlignment="1">
      <alignment horizontal="center" vertical="center"/>
    </xf>
    <xf numFmtId="0" fontId="3" fillId="0" borderId="13" xfId="0" applyFont="1" applyFill="1" applyBorder="1" applyAlignment="1">
      <alignment horizontal="justify" vertical="center" wrapText="1"/>
    </xf>
    <xf numFmtId="2" fontId="3" fillId="0" borderId="13" xfId="15" applyNumberFormat="1" applyFont="1" applyFill="1" applyBorder="1" applyAlignment="1" applyProtection="1">
      <alignment horizontal="center" vertical="center"/>
      <protection/>
    </xf>
    <xf numFmtId="0" fontId="21" fillId="0" borderId="13" xfId="0" applyFont="1" applyFill="1" applyBorder="1" applyAlignment="1">
      <alignment horizontal="justify" vertical="center" wrapText="1"/>
    </xf>
    <xf numFmtId="182" fontId="3" fillId="0" borderId="13" xfId="15" applyNumberFormat="1" applyFont="1" applyFill="1" applyBorder="1" applyAlignment="1" applyProtection="1">
      <alignment horizontal="center" vertical="center"/>
      <protection/>
    </xf>
    <xf numFmtId="0" fontId="3" fillId="33" borderId="13" xfId="0" applyFont="1" applyFill="1" applyBorder="1" applyAlignment="1">
      <alignment horizontal="center" vertical="center"/>
    </xf>
    <xf numFmtId="2" fontId="3" fillId="33" borderId="13" xfId="15" applyNumberFormat="1" applyFont="1" applyFill="1" applyBorder="1" applyAlignment="1" applyProtection="1">
      <alignment horizontal="center" vertical="center"/>
      <protection/>
    </xf>
    <xf numFmtId="177" fontId="3" fillId="0" borderId="13" xfId="0" applyNumberFormat="1" applyFont="1" applyFill="1" applyBorder="1" applyAlignment="1" applyProtection="1">
      <alignment horizontal="justify" vertical="center" wrapText="1"/>
      <protection/>
    </xf>
    <xf numFmtId="177" fontId="3" fillId="0" borderId="13" xfId="15" applyFont="1" applyFill="1" applyBorder="1" applyAlignment="1" applyProtection="1">
      <alignment horizontal="justify" vertical="center" wrapText="1"/>
      <protection/>
    </xf>
    <xf numFmtId="177" fontId="3" fillId="0" borderId="13" xfId="15" applyFont="1" applyFill="1" applyBorder="1" applyAlignment="1" applyProtection="1">
      <alignment horizontal="center" vertical="center" wrapText="1"/>
      <protection/>
    </xf>
    <xf numFmtId="0" fontId="21" fillId="0" borderId="13" xfId="0" applyFont="1" applyFill="1" applyBorder="1" applyAlignment="1">
      <alignment horizontal="justify" vertical="center"/>
    </xf>
    <xf numFmtId="0" fontId="3" fillId="0" borderId="13" xfId="15" applyNumberFormat="1" applyFont="1" applyFill="1" applyBorder="1" applyAlignment="1" applyProtection="1">
      <alignment horizontal="justify" vertical="center" wrapText="1"/>
      <protection/>
    </xf>
    <xf numFmtId="4" fontId="19" fillId="0" borderId="0" xfId="0" applyNumberFormat="1" applyFont="1" applyFill="1" applyBorder="1" applyAlignment="1">
      <alignment/>
    </xf>
    <xf numFmtId="0" fontId="19" fillId="0" borderId="0" xfId="0" applyFont="1" applyFill="1" applyBorder="1" applyAlignment="1">
      <alignment/>
    </xf>
    <xf numFmtId="185" fontId="20" fillId="0" borderId="0" xfId="0" applyNumberFormat="1" applyFont="1" applyFill="1" applyBorder="1" applyAlignment="1">
      <alignment horizontal="right"/>
    </xf>
    <xf numFmtId="0" fontId="3" fillId="0" borderId="0" xfId="0" applyFont="1" applyFill="1" applyBorder="1" applyAlignment="1">
      <alignment/>
    </xf>
    <xf numFmtId="185" fontId="20" fillId="0" borderId="0" xfId="0" applyNumberFormat="1" applyFont="1" applyFill="1" applyBorder="1" applyAlignment="1">
      <alignment horizontal="right" vertical="center"/>
    </xf>
    <xf numFmtId="0" fontId="3" fillId="0" borderId="0" xfId="0" applyFont="1" applyFill="1" applyBorder="1" applyAlignment="1">
      <alignment vertical="center"/>
    </xf>
    <xf numFmtId="183" fontId="3" fillId="0" borderId="0" xfId="0" applyNumberFormat="1" applyFont="1" applyFill="1" applyBorder="1" applyAlignment="1">
      <alignment horizontal="center" vertical="center"/>
    </xf>
    <xf numFmtId="2" fontId="3" fillId="0" borderId="0" xfId="0" applyNumberFormat="1" applyFont="1" applyFill="1" applyBorder="1" applyAlignment="1">
      <alignment vertical="center"/>
    </xf>
    <xf numFmtId="0" fontId="6" fillId="37" borderId="26" xfId="0" applyFont="1" applyFill="1" applyBorder="1" applyAlignment="1">
      <alignment horizontal="center" vertical="center" wrapText="1"/>
    </xf>
    <xf numFmtId="185" fontId="20" fillId="0" borderId="0" xfId="0" applyNumberFormat="1" applyFont="1" applyFill="1" applyBorder="1" applyAlignment="1">
      <alignment horizontal="right" vertical="center"/>
    </xf>
    <xf numFmtId="4" fontId="19" fillId="0" borderId="0" xfId="0" applyNumberFormat="1" applyFont="1" applyFill="1" applyBorder="1" applyAlignment="1">
      <alignment horizontal="center" vertical="center"/>
    </xf>
    <xf numFmtId="4" fontId="19" fillId="0" borderId="0" xfId="0" applyNumberFormat="1" applyFont="1" applyFill="1" applyBorder="1" applyAlignment="1">
      <alignment vertical="center"/>
    </xf>
    <xf numFmtId="0" fontId="19" fillId="0" borderId="0" xfId="0" applyFont="1" applyFill="1" applyBorder="1" applyAlignment="1">
      <alignment vertical="center"/>
    </xf>
    <xf numFmtId="183"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185" fontId="22" fillId="0" borderId="0" xfId="0" applyNumberFormat="1" applyFont="1" applyFill="1" applyBorder="1" applyAlignment="1">
      <alignment horizontal="right" vertical="center"/>
    </xf>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91" fontId="11" fillId="37" borderId="13" xfId="18" applyNumberFormat="1" applyFont="1" applyFill="1" applyBorder="1" applyAlignment="1" applyProtection="1">
      <alignment horizontal="center" vertical="center"/>
      <protection/>
    </xf>
    <xf numFmtId="191" fontId="11" fillId="37" borderId="13" xfId="0" applyNumberFormat="1" applyFont="1" applyFill="1" applyBorder="1" applyAlignment="1" applyProtection="1">
      <alignment horizontal="center" vertical="center"/>
      <protection/>
    </xf>
    <xf numFmtId="185" fontId="20" fillId="0" borderId="0" xfId="0" applyNumberFormat="1" applyFont="1" applyFill="1" applyBorder="1" applyAlignment="1">
      <alignment horizontal="right" vertical="center" wrapText="1"/>
    </xf>
    <xf numFmtId="10" fontId="6" fillId="39" borderId="17" xfId="0" applyNumberFormat="1" applyFont="1" applyFill="1" applyBorder="1" applyAlignment="1">
      <alignment horizontal="center" vertical="center" wrapText="1"/>
    </xf>
    <xf numFmtId="10" fontId="11" fillId="41" borderId="13" xfId="0" applyNumberFormat="1" applyFont="1" applyFill="1" applyBorder="1" applyAlignment="1" applyProtection="1">
      <alignment horizontal="center" vertical="center"/>
      <protection/>
    </xf>
    <xf numFmtId="10" fontId="6" fillId="39" borderId="13"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xf>
    <xf numFmtId="10" fontId="0" fillId="0" borderId="0" xfId="18" applyNumberFormat="1" applyFill="1" applyBorder="1" applyAlignment="1">
      <alignment horizontal="center" vertical="center"/>
    </xf>
    <xf numFmtId="10" fontId="6" fillId="0" borderId="13" xfId="0" applyNumberFormat="1" applyFont="1" applyFill="1" applyBorder="1" applyAlignment="1">
      <alignment horizontal="center" vertical="center" wrapText="1"/>
    </xf>
    <xf numFmtId="10" fontId="23" fillId="0" borderId="0" xfId="0" applyNumberFormat="1" applyFont="1" applyFill="1" applyBorder="1" applyAlignment="1">
      <alignment horizontal="center" vertical="center"/>
    </xf>
    <xf numFmtId="2" fontId="1" fillId="0" borderId="0" xfId="0" applyNumberFormat="1" applyFont="1" applyFill="1" applyBorder="1" applyAlignment="1">
      <alignment vertical="center"/>
    </xf>
    <xf numFmtId="0" fontId="1" fillId="0" borderId="0" xfId="0" applyFont="1" applyFill="1" applyBorder="1" applyAlignment="1">
      <alignment vertical="center"/>
    </xf>
    <xf numFmtId="4" fontId="2" fillId="0" borderId="0" xfId="0" applyNumberFormat="1" applyFont="1" applyFill="1" applyBorder="1" applyAlignment="1">
      <alignment horizontal="center" vertical="center"/>
    </xf>
    <xf numFmtId="177" fontId="1" fillId="0" borderId="0" xfId="15" applyFont="1" applyFill="1" applyBorder="1" applyAlignment="1" applyProtection="1">
      <alignment horizontal="right" vertical="center"/>
      <protection/>
    </xf>
    <xf numFmtId="177" fontId="1" fillId="0" borderId="0" xfId="15" applyFont="1" applyFill="1" applyBorder="1" applyAlignment="1" applyProtection="1">
      <alignment horizontal="right" vertical="center"/>
      <protection/>
    </xf>
    <xf numFmtId="0" fontId="3" fillId="0" borderId="0" xfId="0" applyFont="1" applyFill="1" applyBorder="1" applyAlignment="1">
      <alignment/>
    </xf>
    <xf numFmtId="0" fontId="3" fillId="0" borderId="0" xfId="0" applyFont="1" applyFill="1" applyBorder="1" applyAlignment="1">
      <alignment vertical="center"/>
    </xf>
    <xf numFmtId="0" fontId="19" fillId="0" borderId="0" xfId="0" applyFont="1" applyFill="1" applyBorder="1" applyAlignment="1">
      <alignment/>
    </xf>
    <xf numFmtId="2" fontId="19" fillId="0" borderId="0" xfId="0" applyNumberFormat="1" applyFont="1" applyFill="1" applyBorder="1" applyAlignment="1">
      <alignment vertical="center"/>
    </xf>
    <xf numFmtId="0" fontId="19" fillId="0" borderId="0" xfId="0" applyFont="1" applyFill="1" applyBorder="1" applyAlignment="1">
      <alignment vertical="center"/>
    </xf>
    <xf numFmtId="0" fontId="1" fillId="0" borderId="0" xfId="0" applyFont="1" applyFill="1" applyBorder="1" applyAlignment="1">
      <alignment vertical="center"/>
    </xf>
    <xf numFmtId="181" fontId="1" fillId="0" borderId="0" xfId="0" applyNumberFormat="1" applyFont="1" applyFill="1" applyBorder="1" applyAlignment="1">
      <alignment vertical="center"/>
    </xf>
    <xf numFmtId="0" fontId="6" fillId="0" borderId="13" xfId="67" applyFont="1" applyFill="1" applyBorder="1" applyAlignment="1">
      <alignment horizontal="center" vertical="center" wrapText="1"/>
      <protection/>
    </xf>
    <xf numFmtId="0" fontId="6" fillId="0" borderId="13" xfId="67" applyFont="1" applyFill="1" applyBorder="1" applyAlignment="1">
      <alignment horizontal="justify" vertical="center" wrapText="1"/>
      <protection/>
    </xf>
    <xf numFmtId="0" fontId="14" fillId="36" borderId="26" xfId="0" applyFont="1" applyFill="1" applyBorder="1" applyAlignment="1">
      <alignment horizontal="left" vertical="center"/>
    </xf>
    <xf numFmtId="0" fontId="14" fillId="36" borderId="26" xfId="0" applyFont="1" applyFill="1" applyBorder="1" applyAlignment="1">
      <alignment horizontal="justify" vertical="center"/>
    </xf>
    <xf numFmtId="192" fontId="14" fillId="36" borderId="26" xfId="0" applyNumberFormat="1" applyFont="1" applyFill="1" applyBorder="1" applyAlignment="1">
      <alignment horizontal="center" vertical="center"/>
    </xf>
    <xf numFmtId="184"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26" xfId="0" applyNumberFormat="1"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2" fontId="6" fillId="0" borderId="0" xfId="0" applyNumberFormat="1" applyFont="1" applyFill="1" applyBorder="1" applyAlignment="1">
      <alignment horizontal="center" vertical="center"/>
    </xf>
    <xf numFmtId="190" fontId="6" fillId="0" borderId="0" xfId="0" applyNumberFormat="1" applyFont="1" applyFill="1" applyBorder="1" applyAlignment="1">
      <alignment horizontal="center" vertical="center"/>
    </xf>
    <xf numFmtId="191" fontId="6" fillId="0" borderId="13" xfId="0" applyNumberFormat="1" applyFont="1" applyFill="1" applyBorder="1" applyAlignment="1">
      <alignment horizontal="center" vertical="center" wrapText="1"/>
    </xf>
    <xf numFmtId="9" fontId="14" fillId="36" borderId="26"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xf>
    <xf numFmtId="0" fontId="1" fillId="0" borderId="0" xfId="0" applyFont="1" applyFill="1" applyBorder="1" applyAlignment="1">
      <alignment/>
    </xf>
    <xf numFmtId="4" fontId="25" fillId="0" borderId="0" xfId="0" applyNumberFormat="1" applyFont="1" applyBorder="1" applyAlignment="1">
      <alignment vertical="center"/>
    </xf>
    <xf numFmtId="0" fontId="0" fillId="0" borderId="0" xfId="0" applyFont="1" applyAlignment="1">
      <alignment/>
    </xf>
    <xf numFmtId="0" fontId="19" fillId="0" borderId="0" xfId="0" applyFont="1" applyAlignment="1">
      <alignment/>
    </xf>
    <xf numFmtId="0" fontId="26" fillId="0" borderId="0" xfId="0" applyFont="1" applyAlignment="1">
      <alignment vertical="center"/>
    </xf>
    <xf numFmtId="0" fontId="1" fillId="0" borderId="0" xfId="0" applyFont="1" applyAlignment="1">
      <alignment vertical="center"/>
    </xf>
    <xf numFmtId="0" fontId="26" fillId="0" borderId="0" xfId="0" applyFont="1" applyAlignment="1">
      <alignment/>
    </xf>
    <xf numFmtId="0" fontId="3" fillId="0" borderId="9" xfId="0" applyFont="1" applyBorder="1" applyAlignment="1">
      <alignment/>
    </xf>
    <xf numFmtId="0" fontId="3" fillId="0" borderId="10" xfId="0" applyFont="1" applyBorder="1" applyAlignment="1">
      <alignment/>
    </xf>
    <xf numFmtId="2" fontId="3" fillId="0" borderId="10" xfId="0" applyNumberFormat="1" applyFont="1" applyBorder="1" applyAlignment="1">
      <alignment/>
    </xf>
    <xf numFmtId="4" fontId="3" fillId="0" borderId="10" xfId="0" applyNumberFormat="1" applyFont="1" applyBorder="1" applyAlignment="1">
      <alignment horizontal="center" vertical="center"/>
    </xf>
    <xf numFmtId="4" fontId="6" fillId="0" borderId="10" xfId="0" applyNumberFormat="1" applyFont="1" applyBorder="1" applyAlignment="1">
      <alignment vertical="center"/>
    </xf>
    <xf numFmtId="4" fontId="5" fillId="0" borderId="12" xfId="0" applyNumberFormat="1" applyFont="1" applyBorder="1" applyAlignment="1">
      <alignment horizontal="center" wrapText="1"/>
    </xf>
    <xf numFmtId="49" fontId="3" fillId="0" borderId="13" xfId="0" applyNumberFormat="1" applyFont="1" applyBorder="1" applyAlignment="1">
      <alignment horizontal="left" vertical="center" wrapText="1"/>
    </xf>
    <xf numFmtId="0" fontId="6" fillId="0" borderId="13" xfId="0" applyFont="1" applyBorder="1" applyAlignment="1">
      <alignment horizontal="center" vertical="center"/>
    </xf>
    <xf numFmtId="4" fontId="3" fillId="0" borderId="13" xfId="0" applyNumberFormat="1" applyFont="1" applyBorder="1" applyAlignment="1">
      <alignment horizontal="left" vertical="center" wrapText="1"/>
    </xf>
    <xf numFmtId="0" fontId="17" fillId="36" borderId="13" xfId="0" applyFont="1" applyFill="1" applyBorder="1" applyAlignment="1">
      <alignment horizontal="center" vertical="center"/>
    </xf>
    <xf numFmtId="0" fontId="6" fillId="0" borderId="16" xfId="0" applyFont="1" applyBorder="1" applyAlignment="1">
      <alignment horizontal="center" vertical="center"/>
    </xf>
    <xf numFmtId="0" fontId="3" fillId="0" borderId="13" xfId="0" applyFont="1" applyBorder="1" applyAlignment="1">
      <alignment horizontal="center" vertical="center"/>
    </xf>
    <xf numFmtId="0" fontId="3" fillId="0" borderId="31" xfId="0" applyNumberFormat="1" applyFont="1" applyBorder="1" applyAlignment="1">
      <alignment horizontal="left" vertical="center" wrapText="1"/>
    </xf>
    <xf numFmtId="4" fontId="3" fillId="0" borderId="13" xfId="0" applyNumberFormat="1" applyFont="1" applyBorder="1" applyAlignment="1">
      <alignment horizontal="center" vertical="center"/>
    </xf>
    <xf numFmtId="0" fontId="6" fillId="0" borderId="13" xfId="0" applyFont="1" applyBorder="1" applyAlignment="1">
      <alignment horizontal="right" vertical="center"/>
    </xf>
    <xf numFmtId="10" fontId="6" fillId="0" borderId="13" xfId="0" applyNumberFormat="1" applyFont="1" applyBorder="1" applyAlignment="1">
      <alignment horizontal="center" vertical="center"/>
    </xf>
    <xf numFmtId="0" fontId="6" fillId="0" borderId="15" xfId="0" applyFont="1" applyBorder="1" applyAlignment="1">
      <alignment horizontal="right" vertical="center"/>
    </xf>
    <xf numFmtId="4" fontId="6" fillId="0" borderId="13" xfId="0" applyNumberFormat="1" applyFont="1" applyBorder="1" applyAlignment="1">
      <alignment horizontal="center" vertical="center"/>
    </xf>
    <xf numFmtId="0" fontId="6" fillId="0" borderId="15" xfId="0" applyFont="1" applyBorder="1" applyAlignment="1">
      <alignment horizontal="center" vertical="center"/>
    </xf>
    <xf numFmtId="4" fontId="5" fillId="0" borderId="15" xfId="0" applyNumberFormat="1" applyFont="1" applyBorder="1" applyAlignment="1">
      <alignment horizontal="center" vertical="center"/>
    </xf>
    <xf numFmtId="4" fontId="6" fillId="0" borderId="15" xfId="0" applyNumberFormat="1" applyFont="1" applyBorder="1" applyAlignment="1">
      <alignment horizontal="center" vertical="center"/>
    </xf>
    <xf numFmtId="184" fontId="7" fillId="33" borderId="13" xfId="0" applyNumberFormat="1" applyFont="1" applyFill="1" applyBorder="1" applyAlignment="1">
      <alignment horizontal="center" vertical="center" wrapText="1"/>
    </xf>
    <xf numFmtId="0" fontId="7" fillId="37" borderId="13" xfId="0" applyNumberFormat="1" applyFont="1" applyFill="1" applyBorder="1" applyAlignment="1">
      <alignment horizontal="center" vertical="center"/>
    </xf>
    <xf numFmtId="0" fontId="7" fillId="33" borderId="15" xfId="0" applyFont="1" applyFill="1" applyBorder="1" applyAlignment="1">
      <alignment horizontal="center" vertical="center"/>
    </xf>
    <xf numFmtId="0" fontId="3" fillId="0" borderId="0" xfId="0" applyFont="1" applyAlignment="1">
      <alignment vertical="top"/>
    </xf>
    <xf numFmtId="0" fontId="8" fillId="0" borderId="0" xfId="0" applyFont="1" applyBorder="1" applyAlignment="1">
      <alignment/>
    </xf>
    <xf numFmtId="4" fontId="6" fillId="0" borderId="11" xfId="0" applyNumberFormat="1" applyFont="1" applyBorder="1" applyAlignment="1">
      <alignment vertical="center"/>
    </xf>
    <xf numFmtId="4" fontId="6" fillId="0" borderId="0" xfId="0" applyNumberFormat="1" applyFont="1" applyBorder="1" applyAlignment="1">
      <alignment vertical="center"/>
    </xf>
    <xf numFmtId="0" fontId="6" fillId="0" borderId="0" xfId="0" applyFont="1" applyAlignment="1">
      <alignment vertical="center"/>
    </xf>
    <xf numFmtId="0" fontId="7" fillId="0" borderId="0" xfId="0" applyFont="1" applyAlignment="1">
      <alignment/>
    </xf>
    <xf numFmtId="0" fontId="8" fillId="0" borderId="0" xfId="0" applyFont="1" applyAlignment="1">
      <alignment vertical="center"/>
    </xf>
    <xf numFmtId="0" fontId="1" fillId="0" borderId="0" xfId="0" applyFont="1" applyFill="1" applyBorder="1" applyAlignment="1">
      <alignment vertical="center"/>
    </xf>
    <xf numFmtId="0" fontId="3" fillId="0" borderId="0" xfId="0" applyFont="1" applyBorder="1" applyAlignment="1">
      <alignment/>
    </xf>
    <xf numFmtId="4" fontId="8" fillId="0" borderId="0" xfId="0" applyNumberFormat="1" applyFont="1" applyAlignment="1">
      <alignment/>
    </xf>
    <xf numFmtId="4" fontId="8" fillId="0" borderId="0" xfId="0" applyNumberFormat="1" applyFont="1" applyAlignment="1">
      <alignment vertical="center"/>
    </xf>
    <xf numFmtId="0" fontId="1" fillId="0" borderId="0" xfId="0" applyFont="1" applyFill="1" applyAlignment="1">
      <alignment vertical="center"/>
    </xf>
    <xf numFmtId="177" fontId="10" fillId="0" borderId="0" xfId="15" applyFont="1" applyFill="1" applyBorder="1" applyAlignment="1" applyProtection="1">
      <alignment/>
      <protection/>
    </xf>
    <xf numFmtId="177" fontId="8" fillId="33" borderId="0" xfId="15" applyFont="1" applyFill="1" applyBorder="1" applyAlignment="1" applyProtection="1">
      <alignment/>
      <protection/>
    </xf>
    <xf numFmtId="177" fontId="8" fillId="0" borderId="0" xfId="15" applyFont="1" applyFill="1" applyBorder="1" applyAlignment="1" applyProtection="1">
      <alignment/>
      <protection/>
    </xf>
    <xf numFmtId="177" fontId="8" fillId="0" borderId="0" xfId="15" applyFont="1" applyFill="1" applyBorder="1" applyAlignment="1" applyProtection="1">
      <alignment horizontal="center"/>
      <protection/>
    </xf>
    <xf numFmtId="177" fontId="8" fillId="0" borderId="0" xfId="15" applyFont="1" applyFill="1" applyBorder="1" applyAlignment="1" applyProtection="1">
      <alignment horizontal="center" vertical="center"/>
      <protection/>
    </xf>
    <xf numFmtId="177" fontId="7" fillId="0" borderId="0" xfId="15" applyFont="1" applyFill="1" applyBorder="1" applyAlignment="1" applyProtection="1">
      <alignment horizontal="center" vertical="center"/>
      <protection/>
    </xf>
    <xf numFmtId="0" fontId="2" fillId="33" borderId="15" xfId="0" applyFont="1" applyFill="1" applyBorder="1" applyAlignment="1">
      <alignment horizontal="center"/>
    </xf>
    <xf numFmtId="4" fontId="5" fillId="0" borderId="16" xfId="0" applyNumberFormat="1" applyFont="1" applyBorder="1" applyAlignment="1">
      <alignment horizontal="center" vertical="center" wrapText="1"/>
    </xf>
    <xf numFmtId="177" fontId="6" fillId="37" borderId="13" xfId="15" applyFont="1" applyFill="1" applyBorder="1" applyAlignment="1" applyProtection="1">
      <alignment horizontal="center" vertical="center" wrapText="1"/>
      <protection/>
    </xf>
    <xf numFmtId="177" fontId="6" fillId="37" borderId="13" xfId="15" applyFont="1" applyFill="1" applyBorder="1" applyAlignment="1" applyProtection="1">
      <alignment horizontal="center" vertical="center"/>
      <protection/>
    </xf>
    <xf numFmtId="177" fontId="6" fillId="37" borderId="13" xfId="15" applyFont="1" applyFill="1" applyBorder="1" applyAlignment="1" applyProtection="1">
      <alignment horizontal="left" vertical="center" wrapText="1"/>
      <protection/>
    </xf>
    <xf numFmtId="177" fontId="3" fillId="33" borderId="13" xfId="15" applyFont="1" applyFill="1" applyBorder="1" applyAlignment="1" applyProtection="1">
      <alignment horizontal="center" vertical="center" wrapText="1"/>
      <protection/>
    </xf>
    <xf numFmtId="177" fontId="3" fillId="33" borderId="13" xfId="15" applyFont="1" applyFill="1" applyBorder="1" applyAlignment="1" applyProtection="1">
      <alignment horizontal="left" vertical="center" wrapText="1"/>
      <protection/>
    </xf>
    <xf numFmtId="177" fontId="6" fillId="33" borderId="13" xfId="15" applyFont="1" applyFill="1" applyBorder="1" applyAlignment="1" applyProtection="1">
      <alignment horizontal="center" vertical="center" wrapText="1"/>
      <protection/>
    </xf>
    <xf numFmtId="177" fontId="3" fillId="0" borderId="13" xfId="15" applyFont="1" applyFill="1" applyBorder="1" applyAlignment="1" applyProtection="1">
      <alignment horizontal="left" vertical="center" wrapText="1"/>
      <protection/>
    </xf>
    <xf numFmtId="177" fontId="95" fillId="0" borderId="13" xfId="15" applyFont="1" applyFill="1" applyBorder="1" applyAlignment="1" applyProtection="1">
      <alignment horizontal="center" vertical="center" wrapText="1"/>
      <protection/>
    </xf>
    <xf numFmtId="4" fontId="96" fillId="0" borderId="13" xfId="0" applyNumberFormat="1" applyFont="1" applyFill="1" applyBorder="1" applyAlignment="1">
      <alignment horizontal="center" vertical="center" wrapText="1"/>
    </xf>
    <xf numFmtId="181" fontId="96" fillId="0" borderId="13" xfId="80" applyNumberFormat="1" applyFont="1" applyFill="1" applyBorder="1" applyAlignment="1" applyProtection="1">
      <alignment horizontal="center" vertical="center" wrapText="1"/>
      <protection/>
    </xf>
    <xf numFmtId="193" fontId="95" fillId="0" borderId="13" xfId="15" applyNumberFormat="1" applyFont="1" applyFill="1" applyBorder="1" applyAlignment="1" applyProtection="1">
      <alignment horizontal="center" vertical="center" wrapText="1"/>
      <protection/>
    </xf>
    <xf numFmtId="4" fontId="2" fillId="0" borderId="13" xfId="0" applyNumberFormat="1" applyFont="1" applyFill="1" applyBorder="1" applyAlignment="1">
      <alignment horizontal="center" vertical="center"/>
    </xf>
    <xf numFmtId="9" fontId="3" fillId="0" borderId="13" xfId="15" applyNumberFormat="1" applyFont="1" applyFill="1" applyBorder="1" applyAlignment="1" applyProtection="1">
      <alignment horizontal="center" vertical="center" wrapText="1"/>
      <protection/>
    </xf>
    <xf numFmtId="0" fontId="9" fillId="33" borderId="13" xfId="0" applyFont="1" applyFill="1" applyBorder="1" applyAlignment="1">
      <alignment horizontal="left" vertical="center" wrapText="1"/>
    </xf>
    <xf numFmtId="193" fontId="3" fillId="0" borderId="13" xfId="15" applyNumberFormat="1" applyFont="1" applyFill="1" applyBorder="1" applyAlignment="1" applyProtection="1">
      <alignment horizontal="center" vertical="center" wrapText="1"/>
      <protection/>
    </xf>
    <xf numFmtId="4" fontId="2" fillId="33" borderId="13" xfId="0" applyNumberFormat="1" applyFont="1" applyFill="1" applyBorder="1" applyAlignment="1">
      <alignment horizontal="center" vertical="center"/>
    </xf>
    <xf numFmtId="177" fontId="6" fillId="37" borderId="13" xfId="15" applyFont="1" applyFill="1" applyBorder="1" applyAlignment="1" applyProtection="1">
      <alignment horizontal="justify" vertical="center" wrapText="1"/>
      <protection/>
    </xf>
    <xf numFmtId="10"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181" fontId="3" fillId="0" borderId="13" xfId="80" applyNumberFormat="1" applyFont="1" applyFill="1" applyBorder="1" applyAlignment="1" applyProtection="1">
      <alignment horizontal="center" vertical="center" wrapText="1"/>
      <protection/>
    </xf>
    <xf numFmtId="10" fontId="3" fillId="0" borderId="13" xfId="18" applyNumberFormat="1" applyFont="1" applyFill="1" applyBorder="1" applyAlignment="1" applyProtection="1">
      <alignment horizontal="center" vertical="center"/>
      <protection/>
    </xf>
    <xf numFmtId="10" fontId="3" fillId="0" borderId="13" xfId="18" applyNumberFormat="1" applyFont="1" applyFill="1" applyBorder="1" applyAlignment="1" applyProtection="1">
      <alignment horizontal="center" vertical="center" wrapText="1"/>
      <protection/>
    </xf>
    <xf numFmtId="177" fontId="3" fillId="0" borderId="13" xfId="15" applyFont="1" applyFill="1" applyBorder="1" applyAlignment="1" applyProtection="1">
      <alignment horizontal="center" vertical="center"/>
      <protection/>
    </xf>
    <xf numFmtId="10" fontId="3" fillId="0" borderId="13" xfId="15" applyNumberFormat="1" applyFont="1" applyFill="1" applyBorder="1" applyAlignment="1" applyProtection="1">
      <alignment horizontal="center" vertical="center" wrapText="1"/>
      <protection/>
    </xf>
    <xf numFmtId="177" fontId="3" fillId="0" borderId="13" xfId="15" applyFont="1" applyFill="1" applyBorder="1" applyAlignment="1" applyProtection="1">
      <alignment vertical="center" wrapText="1"/>
      <protection/>
    </xf>
    <xf numFmtId="177" fontId="6" fillId="0" borderId="13" xfId="15" applyFont="1" applyFill="1" applyBorder="1" applyAlignment="1" applyProtection="1">
      <alignment horizontal="center" vertical="center" wrapText="1"/>
      <protection/>
    </xf>
    <xf numFmtId="0" fontId="3" fillId="0" borderId="13" xfId="15" applyNumberFormat="1" applyFont="1" applyFill="1" applyBorder="1" applyAlignment="1" applyProtection="1">
      <alignment horizontal="left" wrapText="1"/>
      <protection/>
    </xf>
    <xf numFmtId="177" fontId="9" fillId="0" borderId="13" xfId="15" applyFont="1" applyFill="1" applyBorder="1" applyAlignment="1" applyProtection="1">
      <alignment horizontal="left" vertical="center" wrapText="1"/>
      <protection/>
    </xf>
    <xf numFmtId="4" fontId="3" fillId="0" borderId="14" xfId="0" applyNumberFormat="1" applyFont="1" applyBorder="1" applyAlignment="1" applyProtection="1">
      <alignment horizontal="center" vertical="center" wrapText="1"/>
      <protection locked="0"/>
    </xf>
    <xf numFmtId="0" fontId="3" fillId="0" borderId="19" xfId="0" applyFont="1" applyFill="1" applyBorder="1" applyAlignment="1">
      <alignment horizontal="center" vertical="center"/>
    </xf>
    <xf numFmtId="177" fontId="8" fillId="0" borderId="19" xfId="15" applyFont="1" applyFill="1" applyBorder="1" applyAlignment="1" applyProtection="1">
      <alignment horizontal="center" vertical="center"/>
      <protection/>
    </xf>
    <xf numFmtId="177" fontId="8" fillId="0" borderId="32" xfId="15" applyFont="1" applyFill="1" applyBorder="1" applyAlignment="1" applyProtection="1">
      <alignment vertical="center"/>
      <protection/>
    </xf>
    <xf numFmtId="177" fontId="7" fillId="0" borderId="19" xfId="15" applyFont="1" applyFill="1" applyBorder="1" applyAlignment="1" applyProtection="1">
      <alignment vertical="center"/>
      <protection/>
    </xf>
    <xf numFmtId="177" fontId="10" fillId="0" borderId="19" xfId="15" applyFont="1" applyFill="1" applyBorder="1" applyAlignment="1" applyProtection="1">
      <alignment horizontal="center" vertical="center"/>
      <protection/>
    </xf>
    <xf numFmtId="177" fontId="6" fillId="0" borderId="13" xfId="15" applyFont="1" applyFill="1" applyBorder="1" applyAlignment="1" applyProtection="1">
      <alignment horizontal="center" vertical="center" wrapText="1"/>
      <protection/>
    </xf>
    <xf numFmtId="177" fontId="97" fillId="0" borderId="13" xfId="15" applyFont="1" applyFill="1" applyBorder="1" applyAlignment="1" applyProtection="1">
      <alignment horizontal="center" vertical="center" wrapText="1"/>
      <protection/>
    </xf>
    <xf numFmtId="177" fontId="98" fillId="0" borderId="13" xfId="15" applyFont="1" applyFill="1" applyBorder="1" applyAlignment="1" applyProtection="1">
      <alignment horizontal="center" vertical="center" wrapText="1"/>
      <protection/>
    </xf>
    <xf numFmtId="177" fontId="98" fillId="0" borderId="13" xfId="15" applyFont="1" applyFill="1" applyBorder="1" applyAlignment="1" applyProtection="1">
      <alignment horizontal="center" vertical="center"/>
      <protection/>
    </xf>
    <xf numFmtId="10" fontId="97" fillId="0" borderId="13" xfId="15" applyNumberFormat="1" applyFont="1" applyFill="1" applyBorder="1" applyAlignment="1" applyProtection="1">
      <alignment horizontal="center" vertical="center" wrapText="1"/>
      <protection/>
    </xf>
    <xf numFmtId="177" fontId="99" fillId="0" borderId="0" xfId="15" applyFont="1" applyFill="1" applyBorder="1" applyAlignment="1" applyProtection="1">
      <alignment vertical="center"/>
      <protection/>
    </xf>
    <xf numFmtId="177" fontId="99" fillId="0" borderId="0" xfId="15" applyFont="1" applyFill="1" applyBorder="1" applyAlignment="1" applyProtection="1">
      <alignment/>
      <protection/>
    </xf>
    <xf numFmtId="177" fontId="99" fillId="0" borderId="0" xfId="15" applyFont="1" applyFill="1" applyBorder="1" applyAlignment="1" applyProtection="1">
      <alignment vertical="center"/>
      <protection/>
    </xf>
    <xf numFmtId="177" fontId="11" fillId="0" borderId="13" xfId="15" applyFont="1" applyFill="1" applyBorder="1" applyAlignment="1" applyProtection="1">
      <alignment horizontal="center" vertical="center" wrapText="1"/>
      <protection/>
    </xf>
    <xf numFmtId="177" fontId="28" fillId="33" borderId="0" xfId="15" applyFont="1" applyFill="1" applyBorder="1" applyAlignment="1" applyProtection="1">
      <alignment/>
      <protection/>
    </xf>
    <xf numFmtId="177" fontId="11" fillId="33" borderId="13" xfId="15" applyFont="1" applyFill="1" applyBorder="1" applyAlignment="1" applyProtection="1">
      <alignment horizontal="center" vertical="center" wrapText="1"/>
      <protection/>
    </xf>
    <xf numFmtId="177" fontId="99" fillId="33" borderId="0" xfId="15" applyFont="1" applyFill="1" applyBorder="1" applyAlignment="1" applyProtection="1">
      <alignment vertical="center"/>
      <protection/>
    </xf>
    <xf numFmtId="9" fontId="8" fillId="0" borderId="0" xfId="18" applyFont="1" applyFill="1" applyBorder="1" applyAlignment="1" applyProtection="1">
      <alignment/>
      <protection/>
    </xf>
    <xf numFmtId="177" fontId="6" fillId="0" borderId="13" xfId="15" applyFont="1" applyFill="1" applyBorder="1" applyAlignment="1" applyProtection="1">
      <alignment vertical="center" wrapText="1"/>
      <protection/>
    </xf>
    <xf numFmtId="177" fontId="3" fillId="0" borderId="13" xfId="15" applyFont="1" applyFill="1" applyBorder="1" applyAlignment="1" applyProtection="1">
      <alignment vertical="center" wrapText="1"/>
      <protection/>
    </xf>
    <xf numFmtId="177" fontId="8" fillId="0" borderId="0" xfId="15" applyFont="1" applyFill="1" applyBorder="1" applyAlignment="1" applyProtection="1">
      <alignment vertical="center"/>
      <protection/>
    </xf>
    <xf numFmtId="177" fontId="6" fillId="0" borderId="13" xfId="15" applyFont="1" applyFill="1" applyBorder="1" applyAlignment="1" applyProtection="1">
      <alignment horizontal="center" vertical="center"/>
      <protection/>
    </xf>
    <xf numFmtId="177" fontId="7" fillId="0" borderId="0" xfId="15" applyFont="1" applyFill="1" applyBorder="1" applyAlignment="1" applyProtection="1">
      <alignment/>
      <protection/>
    </xf>
    <xf numFmtId="177" fontId="8" fillId="0" borderId="19" xfId="15" applyFont="1" applyFill="1" applyBorder="1" applyAlignment="1" applyProtection="1">
      <alignment vertical="center"/>
      <protection/>
    </xf>
    <xf numFmtId="194" fontId="8" fillId="0" borderId="0" xfId="15" applyNumberFormat="1" applyFont="1" applyFill="1" applyBorder="1" applyAlignment="1" applyProtection="1">
      <alignment/>
      <protection/>
    </xf>
    <xf numFmtId="195" fontId="8" fillId="0" borderId="0" xfId="15" applyNumberFormat="1" applyFont="1" applyFill="1" applyBorder="1" applyAlignment="1" applyProtection="1">
      <alignment/>
      <protection/>
    </xf>
    <xf numFmtId="196" fontId="8" fillId="0" borderId="0" xfId="15" applyNumberFormat="1" applyFont="1" applyFill="1" applyBorder="1" applyAlignment="1" applyProtection="1">
      <alignment/>
      <protection/>
    </xf>
    <xf numFmtId="177" fontId="3" fillId="0" borderId="13" xfId="15" applyFont="1" applyFill="1" applyBorder="1" applyAlignment="1" applyProtection="1">
      <alignment horizontal="center" vertical="center"/>
      <protection/>
    </xf>
    <xf numFmtId="10" fontId="3" fillId="0" borderId="13" xfId="18" applyNumberFormat="1" applyFont="1" applyFill="1" applyBorder="1" applyAlignment="1" applyProtection="1">
      <alignment horizontal="center" vertical="center"/>
      <protection/>
    </xf>
    <xf numFmtId="0" fontId="3" fillId="0" borderId="13" xfId="67" applyFont="1" applyFill="1" applyBorder="1" applyAlignment="1">
      <alignment horizontal="center" vertical="center" wrapText="1"/>
      <protection/>
    </xf>
    <xf numFmtId="177" fontId="6" fillId="37" borderId="17" xfId="15" applyFont="1" applyFill="1" applyBorder="1" applyAlignment="1" applyProtection="1">
      <alignment horizontal="center" vertical="center" wrapText="1"/>
      <protection/>
    </xf>
    <xf numFmtId="177" fontId="3" fillId="0" borderId="27" xfId="15" applyFont="1" applyFill="1" applyBorder="1" applyAlignment="1" applyProtection="1">
      <alignment horizontal="center" vertical="center" wrapText="1"/>
      <protection/>
    </xf>
    <xf numFmtId="177" fontId="8" fillId="0" borderId="13" xfId="15" applyFont="1" applyFill="1" applyBorder="1" applyAlignment="1" applyProtection="1">
      <alignment horizontal="center" vertical="center"/>
      <protection/>
    </xf>
    <xf numFmtId="177" fontId="3" fillId="0" borderId="33" xfId="15" applyFont="1" applyFill="1" applyBorder="1" applyAlignment="1" applyProtection="1">
      <alignment horizontal="center" vertical="center"/>
      <protection/>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7" borderId="0" xfId="0" applyFont="1" applyFill="1" applyAlignment="1">
      <alignment vertical="center" wrapText="1"/>
    </xf>
    <xf numFmtId="0" fontId="3" fillId="0" borderId="0" xfId="0" applyFont="1" applyFill="1" applyAlignment="1">
      <alignment horizontal="center" vertical="center" wrapText="1"/>
    </xf>
    <xf numFmtId="189" fontId="3" fillId="0" borderId="0" xfId="0" applyNumberFormat="1" applyFont="1" applyFill="1" applyAlignment="1">
      <alignment horizontal="center" vertical="center" wrapText="1"/>
    </xf>
    <xf numFmtId="189" fontId="3" fillId="0" borderId="0" xfId="0" applyNumberFormat="1" applyFont="1" applyFill="1" applyAlignment="1">
      <alignment horizontal="right" vertical="center" wrapText="1"/>
    </xf>
    <xf numFmtId="4" fontId="3" fillId="0" borderId="0" xfId="0" applyNumberFormat="1" applyFont="1" applyFill="1" applyAlignment="1">
      <alignment vertical="center" wrapText="1"/>
    </xf>
    <xf numFmtId="0" fontId="5" fillId="33" borderId="15" xfId="47" applyNumberFormat="1" applyFont="1" applyFill="1" applyBorder="1" applyAlignment="1">
      <alignment horizontal="center"/>
      <protection/>
    </xf>
    <xf numFmtId="0" fontId="5" fillId="33" borderId="16" xfId="47" applyNumberFormat="1" applyFont="1" applyFill="1" applyBorder="1" applyAlignment="1">
      <alignment horizontal="center" vertical="center"/>
      <protection/>
    </xf>
    <xf numFmtId="0" fontId="3" fillId="33" borderId="20" xfId="47" applyNumberFormat="1" applyFont="1" applyFill="1" applyBorder="1" applyAlignment="1">
      <alignment vertical="center"/>
      <protection/>
    </xf>
    <xf numFmtId="0" fontId="3" fillId="33" borderId="21" xfId="47" applyFont="1" applyFill="1" applyBorder="1" applyAlignment="1">
      <alignment horizontal="left" vertical="center" wrapText="1"/>
      <protection/>
    </xf>
    <xf numFmtId="0" fontId="3" fillId="33" borderId="25" xfId="47" applyNumberFormat="1" applyFont="1" applyFill="1" applyBorder="1" applyAlignment="1">
      <alignment vertical="center"/>
      <protection/>
    </xf>
    <xf numFmtId="0" fontId="3" fillId="33" borderId="14" xfId="47" applyNumberFormat="1" applyFont="1" applyFill="1" applyBorder="1" applyAlignment="1">
      <alignment horizontal="left" vertical="center" wrapText="1"/>
      <protection/>
    </xf>
    <xf numFmtId="0" fontId="5" fillId="36" borderId="1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89" fontId="6" fillId="37" borderId="13" xfId="0" applyNumberFormat="1" applyFont="1" applyFill="1" applyBorder="1" applyAlignment="1">
      <alignment horizontal="center" vertical="center" wrapText="1"/>
    </xf>
    <xf numFmtId="189" fontId="6" fillId="0" borderId="13" xfId="0" applyNumberFormat="1" applyFont="1" applyFill="1" applyBorder="1" applyAlignment="1">
      <alignment horizontal="center" vertical="center" wrapText="1"/>
    </xf>
    <xf numFmtId="49" fontId="6" fillId="37" borderId="13" xfId="0" applyNumberFormat="1" applyFont="1" applyFill="1" applyBorder="1" applyAlignment="1">
      <alignment horizontal="center" vertical="center"/>
    </xf>
    <xf numFmtId="0" fontId="6" fillId="37" borderId="13" xfId="0" applyNumberFormat="1" applyFont="1" applyFill="1" applyBorder="1" applyAlignment="1">
      <alignment horizontal="left" vertical="center"/>
    </xf>
    <xf numFmtId="189" fontId="6" fillId="37" borderId="13" xfId="15" applyNumberFormat="1" applyFont="1" applyFill="1" applyBorder="1" applyAlignment="1" applyProtection="1">
      <alignment horizontal="center" vertical="center"/>
      <protection/>
    </xf>
    <xf numFmtId="0" fontId="3" fillId="37" borderId="0" xfId="0" applyFont="1" applyFill="1" applyBorder="1" applyAlignment="1">
      <alignment vertical="center" wrapText="1"/>
    </xf>
    <xf numFmtId="0" fontId="6" fillId="0" borderId="13" xfId="0" applyNumberFormat="1" applyFont="1" applyFill="1" applyBorder="1" applyAlignment="1">
      <alignment horizontal="right" vertical="center"/>
    </xf>
    <xf numFmtId="189" fontId="6" fillId="0" borderId="13" xfId="23" applyNumberFormat="1" applyFont="1" applyFill="1" applyBorder="1" applyAlignment="1" applyProtection="1">
      <alignment horizontal="right" vertical="center"/>
      <protection/>
    </xf>
    <xf numFmtId="0" fontId="6" fillId="37" borderId="13" xfId="72" applyFont="1" applyFill="1" applyBorder="1" applyAlignment="1">
      <alignment horizontal="center" vertical="center"/>
      <protection/>
    </xf>
    <xf numFmtId="0" fontId="6" fillId="37" borderId="13" xfId="72" applyNumberFormat="1" applyFont="1" applyFill="1" applyBorder="1" applyAlignment="1">
      <alignment horizontal="left" vertical="center"/>
      <protection/>
    </xf>
    <xf numFmtId="189" fontId="3" fillId="37" borderId="13" xfId="23" applyNumberFormat="1" applyFont="1" applyFill="1" applyBorder="1" applyAlignment="1" applyProtection="1">
      <alignment horizontal="center" vertical="center"/>
      <protection/>
    </xf>
    <xf numFmtId="189" fontId="6" fillId="0" borderId="1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189" fontId="6" fillId="0" borderId="14" xfId="23" applyNumberFormat="1"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center" wrapText="1"/>
    </xf>
    <xf numFmtId="189" fontId="3" fillId="0" borderId="0" xfId="0" applyNumberFormat="1" applyFont="1" applyFill="1" applyBorder="1" applyAlignment="1">
      <alignment horizontal="center" wrapText="1"/>
    </xf>
    <xf numFmtId="189" fontId="3" fillId="0" borderId="0" xfId="0" applyNumberFormat="1" applyFont="1" applyFill="1" applyBorder="1" applyAlignment="1">
      <alignment horizontal="right" wrapText="1"/>
    </xf>
    <xf numFmtId="189" fontId="3" fillId="0" borderId="0" xfId="0" applyNumberFormat="1" applyFont="1" applyFill="1" applyAlignment="1">
      <alignment vertical="center" wrapText="1"/>
    </xf>
    <xf numFmtId="4" fontId="3" fillId="0" borderId="0" xfId="0" applyNumberFormat="1" applyFont="1" applyFill="1" applyBorder="1" applyAlignment="1">
      <alignment vertical="center" wrapText="1"/>
    </xf>
    <xf numFmtId="0" fontId="3" fillId="37" borderId="0" xfId="0" applyFont="1" applyFill="1" applyAlignment="1">
      <alignment horizontal="center" vertical="center" wrapText="1"/>
    </xf>
    <xf numFmtId="4" fontId="3" fillId="37" borderId="0" xfId="0" applyNumberFormat="1" applyFont="1" applyFill="1" applyAlignment="1">
      <alignment vertical="center" wrapText="1"/>
    </xf>
    <xf numFmtId="0" fontId="29" fillId="0" borderId="0" xfId="0" applyFont="1" applyAlignment="1">
      <alignment vertical="center"/>
    </xf>
    <xf numFmtId="0" fontId="30" fillId="0" borderId="0" xfId="0" applyFont="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Border="1" applyAlignment="1">
      <alignment vertical="center"/>
    </xf>
    <xf numFmtId="0" fontId="34" fillId="0" borderId="0" xfId="0" applyFont="1" applyBorder="1" applyAlignment="1">
      <alignment horizontal="center" vertical="center" wrapText="1"/>
    </xf>
    <xf numFmtId="0" fontId="35" fillId="0" borderId="34" xfId="0" applyFont="1" applyBorder="1" applyAlignment="1">
      <alignment horizontal="center" vertical="center"/>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7" fillId="0" borderId="38" xfId="0" applyFont="1" applyBorder="1" applyAlignment="1">
      <alignment horizontal="justify" vertical="center"/>
    </xf>
    <xf numFmtId="0" fontId="35" fillId="0" borderId="39" xfId="0" applyFont="1" applyBorder="1" applyAlignment="1">
      <alignment horizontal="justify" vertical="center"/>
    </xf>
    <xf numFmtId="197" fontId="33" fillId="0" borderId="37" xfId="0" applyNumberFormat="1" applyFont="1" applyBorder="1" applyAlignment="1">
      <alignment horizontal="center" vertical="center"/>
    </xf>
    <xf numFmtId="197" fontId="35" fillId="0" borderId="37" xfId="0" applyNumberFormat="1" applyFont="1" applyBorder="1" applyAlignment="1">
      <alignment horizontal="center" vertical="center"/>
    </xf>
    <xf numFmtId="0" fontId="37" fillId="0" borderId="39" xfId="0" applyFont="1" applyBorder="1" applyAlignment="1">
      <alignment horizontal="justify" vertical="center"/>
    </xf>
    <xf numFmtId="197" fontId="37" fillId="0" borderId="37" xfId="0" applyNumberFormat="1" applyFont="1" applyBorder="1" applyAlignment="1">
      <alignment horizontal="center" vertical="center"/>
    </xf>
    <xf numFmtId="197" fontId="37" fillId="0" borderId="37" xfId="0" applyNumberFormat="1" applyFont="1" applyBorder="1" applyAlignment="1">
      <alignment horizontal="center"/>
    </xf>
    <xf numFmtId="0" fontId="37" fillId="0" borderId="40" xfId="0" applyFont="1" applyBorder="1" applyAlignment="1">
      <alignment horizontal="justify" vertical="center"/>
    </xf>
    <xf numFmtId="197" fontId="37" fillId="0" borderId="41" xfId="0" applyNumberFormat="1" applyFont="1" applyBorder="1" applyAlignment="1">
      <alignment horizontal="center" vertical="center"/>
    </xf>
    <xf numFmtId="0" fontId="37" fillId="0" borderId="0" xfId="0" applyFont="1" applyBorder="1" applyAlignment="1">
      <alignment horizontal="justify" vertical="center"/>
    </xf>
    <xf numFmtId="0" fontId="38" fillId="0" borderId="0" xfId="0" applyFont="1" applyFill="1" applyBorder="1" applyAlignment="1">
      <alignment horizontal="right" vertical="center"/>
    </xf>
    <xf numFmtId="0" fontId="32" fillId="0" borderId="42" xfId="0" applyFont="1" applyFill="1" applyBorder="1" applyAlignment="1">
      <alignment horizontal="justify" vertical="center"/>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177" fontId="39" fillId="0" borderId="45" xfId="15" applyFont="1" applyFill="1" applyBorder="1" applyAlignment="1" applyProtection="1">
      <alignment horizontal="center" vertical="center" wrapText="1"/>
      <protection/>
    </xf>
    <xf numFmtId="0" fontId="39" fillId="0" borderId="46" xfId="0" applyFont="1" applyFill="1" applyBorder="1" applyAlignment="1">
      <alignment horizontal="justify" vertical="center"/>
    </xf>
    <xf numFmtId="0" fontId="33" fillId="0" borderId="47" xfId="0" applyFont="1" applyFill="1" applyBorder="1" applyAlignment="1">
      <alignment horizontal="justify" vertical="center"/>
    </xf>
    <xf numFmtId="0" fontId="33" fillId="33" borderId="48" xfId="0" applyFont="1" applyFill="1" applyBorder="1" applyAlignment="1">
      <alignment horizontal="left" vertical="center"/>
    </xf>
    <xf numFmtId="0" fontId="33" fillId="0" borderId="49" xfId="0" applyFont="1" applyFill="1" applyBorder="1" applyAlignment="1">
      <alignment horizontal="center" vertical="center"/>
    </xf>
    <xf numFmtId="177" fontId="33" fillId="33" borderId="50" xfId="15" applyFont="1" applyFill="1" applyBorder="1" applyAlignment="1" applyProtection="1">
      <alignment vertical="center"/>
      <protection/>
    </xf>
    <xf numFmtId="177" fontId="33" fillId="33" borderId="50" xfId="81" applyFont="1" applyFill="1" applyBorder="1" applyAlignment="1" applyProtection="1">
      <alignment vertical="center"/>
      <protection/>
    </xf>
    <xf numFmtId="0" fontId="31" fillId="0" borderId="47" xfId="0" applyFont="1" applyFill="1" applyBorder="1" applyAlignment="1">
      <alignment horizontal="justify" vertical="center"/>
    </xf>
    <xf numFmtId="0" fontId="33" fillId="0" borderId="49" xfId="0" applyFont="1" applyFill="1" applyBorder="1" applyAlignment="1">
      <alignment horizontal="justify" vertical="center"/>
    </xf>
    <xf numFmtId="0" fontId="31" fillId="0" borderId="49" xfId="0" applyFont="1" applyFill="1" applyBorder="1" applyAlignment="1">
      <alignment horizontal="center" vertical="center"/>
    </xf>
    <xf numFmtId="4" fontId="31" fillId="0" borderId="50" xfId="18" applyNumberFormat="1" applyFont="1" applyFill="1" applyBorder="1" applyAlignment="1" applyProtection="1">
      <alignment vertical="center"/>
      <protection/>
    </xf>
    <xf numFmtId="0" fontId="33" fillId="33" borderId="49" xfId="0" applyFont="1" applyFill="1" applyBorder="1" applyAlignment="1">
      <alignment horizontal="justify" vertical="center"/>
    </xf>
    <xf numFmtId="0" fontId="33" fillId="33" borderId="49" xfId="0" applyFont="1" applyFill="1" applyBorder="1" applyAlignment="1">
      <alignment horizontal="center" vertical="center"/>
    </xf>
    <xf numFmtId="0" fontId="31" fillId="0" borderId="51" xfId="0" applyFont="1" applyFill="1" applyBorder="1" applyAlignment="1">
      <alignment horizontal="justify" vertical="center"/>
    </xf>
    <xf numFmtId="0" fontId="33" fillId="33" borderId="52" xfId="0" applyFont="1" applyFill="1" applyBorder="1" applyAlignment="1">
      <alignment horizontal="justify" vertical="center"/>
    </xf>
    <xf numFmtId="0" fontId="33" fillId="33" borderId="52" xfId="0" applyFont="1" applyFill="1" applyBorder="1" applyAlignment="1">
      <alignment horizontal="center" vertical="center"/>
    </xf>
    <xf numFmtId="177" fontId="33" fillId="33" borderId="53" xfId="81" applyFont="1" applyFill="1" applyBorder="1" applyAlignment="1" applyProtection="1">
      <alignment vertical="center"/>
      <protection/>
    </xf>
    <xf numFmtId="0" fontId="31" fillId="0" borderId="0"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5" xfId="0" applyFont="1" applyFill="1" applyBorder="1" applyAlignment="1">
      <alignment horizontal="center" vertical="center"/>
    </xf>
    <xf numFmtId="177" fontId="33" fillId="33" borderId="50" xfId="81" applyNumberFormat="1" applyFont="1" applyFill="1" applyBorder="1" applyAlignment="1" applyProtection="1">
      <alignment vertical="center"/>
      <protection/>
    </xf>
    <xf numFmtId="177" fontId="33" fillId="0" borderId="50" xfId="81" applyNumberFormat="1" applyFont="1" applyFill="1" applyBorder="1" applyAlignment="1" applyProtection="1">
      <alignment vertical="center"/>
      <protection/>
    </xf>
    <xf numFmtId="177" fontId="33" fillId="0" borderId="50" xfId="81" applyFont="1" applyFill="1" applyBorder="1" applyAlignment="1" applyProtection="1">
      <alignment vertical="center"/>
      <protection/>
    </xf>
    <xf numFmtId="177" fontId="31" fillId="0" borderId="0" xfId="15" applyFont="1" applyFill="1" applyBorder="1" applyAlignment="1" applyProtection="1">
      <alignment vertical="center"/>
      <protection/>
    </xf>
    <xf numFmtId="0" fontId="31" fillId="0" borderId="0" xfId="0" applyFont="1" applyAlignment="1">
      <alignment horizontal="center" vertical="center"/>
    </xf>
    <xf numFmtId="0" fontId="33" fillId="0" borderId="51" xfId="0" applyFont="1" applyFill="1" applyBorder="1" applyAlignment="1">
      <alignment horizontal="justify" vertical="center"/>
    </xf>
    <xf numFmtId="0" fontId="33" fillId="0" borderId="52" xfId="0" applyFont="1" applyFill="1" applyBorder="1" applyAlignment="1">
      <alignment horizontal="justify" vertical="center"/>
    </xf>
    <xf numFmtId="0" fontId="33" fillId="0" borderId="52" xfId="0" applyFont="1" applyFill="1" applyBorder="1" applyAlignment="1">
      <alignment horizontal="center" vertical="center"/>
    </xf>
    <xf numFmtId="177" fontId="33" fillId="0" borderId="53" xfId="81" applyNumberFormat="1" applyFont="1" applyFill="1" applyBorder="1" applyAlignment="1" applyProtection="1">
      <alignment vertical="center"/>
      <protection/>
    </xf>
    <xf numFmtId="0" fontId="33" fillId="0" borderId="0" xfId="0" applyFont="1" applyFill="1" applyBorder="1" applyAlignment="1">
      <alignment horizontal="justify" vertical="center"/>
    </xf>
    <xf numFmtId="0" fontId="33" fillId="0" borderId="0" xfId="0" applyFont="1" applyFill="1" applyBorder="1" applyAlignment="1">
      <alignment horizontal="center" vertical="center"/>
    </xf>
    <xf numFmtId="177" fontId="33" fillId="33" borderId="0" xfId="15" applyNumberFormat="1" applyFont="1" applyFill="1" applyBorder="1" applyAlignment="1" applyProtection="1">
      <alignment vertical="center"/>
      <protection/>
    </xf>
    <xf numFmtId="181" fontId="33" fillId="0" borderId="0" xfId="79" applyFont="1" applyFill="1" applyBorder="1" applyAlignment="1" applyProtection="1">
      <alignment vertical="center"/>
      <protection/>
    </xf>
    <xf numFmtId="177" fontId="39" fillId="0" borderId="56" xfId="15" applyFont="1" applyFill="1" applyBorder="1" applyAlignment="1" applyProtection="1">
      <alignment horizontal="center" vertical="center" wrapText="1"/>
      <protection/>
    </xf>
    <xf numFmtId="198" fontId="33" fillId="0" borderId="53" xfId="81" applyNumberFormat="1" applyFont="1" applyFill="1" applyBorder="1" applyAlignment="1" applyProtection="1">
      <alignment vertical="center"/>
      <protection/>
    </xf>
    <xf numFmtId="0" fontId="33" fillId="33" borderId="0" xfId="0" applyFont="1" applyFill="1" applyAlignment="1">
      <alignment vertical="center"/>
    </xf>
    <xf numFmtId="0" fontId="34" fillId="0" borderId="57" xfId="0" applyFont="1" applyBorder="1" applyAlignment="1">
      <alignment horizontal="center" vertical="center"/>
    </xf>
    <xf numFmtId="0" fontId="35" fillId="0" borderId="58" xfId="0" applyFont="1" applyBorder="1" applyAlignment="1">
      <alignment horizontal="center" vertical="center"/>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1" xfId="0" applyFont="1" applyBorder="1" applyAlignment="1">
      <alignment horizontal="center" vertical="center" wrapText="1"/>
    </xf>
    <xf numFmtId="0" fontId="33" fillId="0" borderId="47" xfId="0" applyFont="1" applyFill="1" applyBorder="1" applyAlignment="1">
      <alignment horizontal="center" vertical="center"/>
    </xf>
    <xf numFmtId="0" fontId="33" fillId="0" borderId="62" xfId="0" applyFont="1" applyFill="1" applyBorder="1" applyAlignment="1">
      <alignment horizontal="left" vertical="center"/>
    </xf>
    <xf numFmtId="181" fontId="33" fillId="0" borderId="49" xfId="15" applyNumberFormat="1" applyFont="1" applyFill="1" applyBorder="1" applyAlignment="1" applyProtection="1">
      <alignment horizontal="center" vertical="center"/>
      <protection/>
    </xf>
    <xf numFmtId="181" fontId="33" fillId="0" borderId="50" xfId="15" applyNumberFormat="1" applyFont="1" applyFill="1" applyBorder="1" applyAlignment="1" applyProtection="1">
      <alignment horizontal="center" vertical="center"/>
      <protection/>
    </xf>
    <xf numFmtId="0" fontId="39" fillId="0" borderId="51" xfId="0" applyFont="1" applyBorder="1" applyAlignment="1">
      <alignment horizontal="right" vertical="center"/>
    </xf>
    <xf numFmtId="181" fontId="39" fillId="0" borderId="53" xfId="15" applyNumberFormat="1" applyFont="1" applyFill="1" applyBorder="1" applyAlignment="1" applyProtection="1">
      <alignment horizontal="center" vertical="center"/>
      <protection/>
    </xf>
    <xf numFmtId="0" fontId="39" fillId="0" borderId="0" xfId="0" applyFont="1" applyBorder="1" applyAlignment="1">
      <alignment horizontal="right" vertical="center"/>
    </xf>
    <xf numFmtId="0" fontId="39" fillId="0" borderId="13" xfId="0" applyFont="1" applyBorder="1" applyAlignment="1">
      <alignment horizontal="justify" vertical="center"/>
    </xf>
    <xf numFmtId="181" fontId="39" fillId="0" borderId="0" xfId="15" applyNumberFormat="1" applyFont="1" applyFill="1" applyBorder="1" applyAlignment="1" applyProtection="1">
      <alignment horizontal="center" vertical="center"/>
      <protection/>
    </xf>
    <xf numFmtId="0" fontId="33" fillId="0" borderId="13" xfId="0" applyFont="1" applyBorder="1" applyAlignment="1">
      <alignment vertical="center"/>
    </xf>
    <xf numFmtId="0" fontId="33" fillId="0" borderId="13" xfId="0" applyFont="1" applyBorder="1" applyAlignment="1">
      <alignment horizontal="center" vertical="center"/>
    </xf>
    <xf numFmtId="181" fontId="33" fillId="0" borderId="13" xfId="15" applyNumberFormat="1" applyFont="1" applyFill="1" applyBorder="1" applyAlignment="1" applyProtection="1">
      <alignment vertical="center"/>
      <protection/>
    </xf>
    <xf numFmtId="181" fontId="31" fillId="0" borderId="0" xfId="15" applyNumberFormat="1" applyFont="1" applyFill="1" applyBorder="1" applyAlignment="1" applyProtection="1">
      <alignment vertical="center"/>
      <protection/>
    </xf>
    <xf numFmtId="199" fontId="33" fillId="0" borderId="13" xfId="15" applyNumberFormat="1" applyFont="1" applyFill="1" applyBorder="1" applyAlignment="1" applyProtection="1">
      <alignment vertical="center"/>
      <protection/>
    </xf>
    <xf numFmtId="0" fontId="39" fillId="0" borderId="0" xfId="0" applyFont="1" applyBorder="1" applyAlignment="1">
      <alignment vertical="center"/>
    </xf>
    <xf numFmtId="0" fontId="39" fillId="0" borderId="13" xfId="0" applyFont="1" applyBorder="1" applyAlignment="1">
      <alignment horizontal="center" vertical="center"/>
    </xf>
    <xf numFmtId="0" fontId="39" fillId="0" borderId="0" xfId="0" applyFont="1" applyBorder="1" applyAlignment="1">
      <alignment horizontal="center" vertical="center"/>
    </xf>
    <xf numFmtId="0" fontId="33" fillId="0" borderId="0" xfId="0" applyFont="1" applyBorder="1" applyAlignment="1">
      <alignment horizontal="center" vertical="center"/>
    </xf>
    <xf numFmtId="4" fontId="33" fillId="0" borderId="13" xfId="0" applyNumberFormat="1" applyFont="1" applyBorder="1" applyAlignment="1">
      <alignment horizontal="center" vertical="center"/>
    </xf>
    <xf numFmtId="0" fontId="39" fillId="0" borderId="13" xfId="0" applyFont="1" applyBorder="1" applyAlignment="1">
      <alignment vertical="center"/>
    </xf>
    <xf numFmtId="0" fontId="39" fillId="33" borderId="13" xfId="0" applyFont="1" applyFill="1" applyBorder="1" applyAlignment="1">
      <alignment horizontal="center" vertical="center"/>
    </xf>
    <xf numFmtId="177" fontId="39" fillId="33" borderId="13" xfId="0" applyNumberFormat="1" applyFont="1" applyFill="1" applyBorder="1" applyAlignment="1">
      <alignment vertical="center"/>
    </xf>
    <xf numFmtId="0" fontId="33" fillId="33" borderId="13" xfId="0" applyFont="1" applyFill="1" applyBorder="1" applyAlignment="1">
      <alignment horizontal="center" vertical="center"/>
    </xf>
    <xf numFmtId="181" fontId="32" fillId="0" borderId="0" xfId="15" applyNumberFormat="1" applyFont="1" applyFill="1" applyBorder="1" applyAlignment="1" applyProtection="1">
      <alignment/>
      <protection/>
    </xf>
    <xf numFmtId="0" fontId="31" fillId="0" borderId="0" xfId="0" applyFont="1" applyAlignment="1">
      <alignment/>
    </xf>
    <xf numFmtId="200" fontId="33" fillId="0" borderId="13" xfId="0" applyNumberFormat="1" applyFont="1" applyBorder="1" applyAlignment="1">
      <alignment horizontal="center" vertical="center"/>
    </xf>
    <xf numFmtId="0" fontId="40" fillId="0" borderId="0" xfId="0" applyFont="1" applyAlignment="1">
      <alignment vertical="center"/>
    </xf>
    <xf numFmtId="0" fontId="37" fillId="0" borderId="13" xfId="0" applyFont="1" applyBorder="1" applyAlignment="1">
      <alignment horizontal="center" vertical="center" wrapText="1"/>
    </xf>
    <xf numFmtId="0" fontId="37" fillId="0" borderId="13" xfId="0" applyFont="1" applyBorder="1" applyAlignment="1">
      <alignment horizontal="justify" vertical="center" wrapText="1"/>
    </xf>
    <xf numFmtId="0" fontId="35" fillId="0" borderId="13" xfId="0" applyFont="1" applyBorder="1" applyAlignment="1">
      <alignment horizontal="justify" vertical="center" wrapText="1"/>
    </xf>
    <xf numFmtId="0" fontId="33" fillId="0" borderId="13" xfId="0" applyFont="1" applyFill="1" applyBorder="1" applyAlignment="1">
      <alignment horizontal="center" vertical="center"/>
    </xf>
    <xf numFmtId="181" fontId="33" fillId="0" borderId="13" xfId="15" applyNumberFormat="1" applyFont="1" applyFill="1" applyBorder="1" applyAlignment="1" applyProtection="1">
      <alignment horizontal="center" vertical="center"/>
      <protection/>
    </xf>
    <xf numFmtId="4" fontId="33" fillId="0" borderId="13" xfId="15" applyNumberFormat="1" applyFont="1" applyFill="1" applyBorder="1" applyAlignment="1" applyProtection="1">
      <alignment horizontal="right" vertical="center"/>
      <protection/>
    </xf>
    <xf numFmtId="0" fontId="33" fillId="0" borderId="13" xfId="0" applyNumberFormat="1" applyFont="1" applyFill="1" applyBorder="1" applyAlignment="1">
      <alignment horizontal="justify" vertical="center"/>
    </xf>
    <xf numFmtId="0" fontId="39" fillId="0" borderId="13" xfId="0" applyFont="1" applyFill="1" applyBorder="1" applyAlignment="1">
      <alignment horizontal="center" vertical="center"/>
    </xf>
    <xf numFmtId="4" fontId="39" fillId="0" borderId="14" xfId="15" applyNumberFormat="1" applyFont="1" applyFill="1" applyBorder="1" applyAlignment="1" applyProtection="1">
      <alignment horizontal="right" vertical="center"/>
      <protection/>
    </xf>
    <xf numFmtId="0" fontId="39" fillId="0" borderId="13" xfId="0" applyFont="1" applyBorder="1" applyAlignment="1">
      <alignment horizontal="justify"/>
    </xf>
    <xf numFmtId="4" fontId="39" fillId="0" borderId="13" xfId="15" applyNumberFormat="1" applyFont="1" applyFill="1" applyBorder="1" applyAlignment="1" applyProtection="1">
      <alignment horizontal="right" vertical="center"/>
      <protection/>
    </xf>
    <xf numFmtId="0" fontId="29" fillId="0" borderId="0" xfId="0" applyFont="1" applyAlignment="1">
      <alignment/>
    </xf>
    <xf numFmtId="0" fontId="29" fillId="0" borderId="0" xfId="0" applyFont="1" applyBorder="1" applyAlignment="1">
      <alignment horizontal="center" vertical="center"/>
    </xf>
    <xf numFmtId="0" fontId="37" fillId="0" borderId="0" xfId="0" applyFont="1" applyBorder="1" applyAlignment="1">
      <alignment horizontal="right" vertical="center"/>
    </xf>
    <xf numFmtId="0" fontId="35" fillId="0" borderId="0" xfId="0" applyFont="1" applyBorder="1" applyAlignment="1">
      <alignment horizontal="center" vertical="center"/>
    </xf>
    <xf numFmtId="0" fontId="40" fillId="0" borderId="35" xfId="0" applyFont="1" applyBorder="1" applyAlignment="1">
      <alignment horizontal="center" vertical="center" wrapText="1"/>
    </xf>
    <xf numFmtId="0" fontId="40" fillId="0" borderId="63" xfId="0" applyFont="1" applyBorder="1" applyAlignment="1">
      <alignment horizontal="center" vertical="center" wrapText="1"/>
    </xf>
    <xf numFmtId="0" fontId="40" fillId="0" borderId="64" xfId="0" applyFont="1" applyBorder="1" applyAlignment="1">
      <alignment horizontal="center" vertical="center" wrapText="1"/>
    </xf>
    <xf numFmtId="0" fontId="41" fillId="33" borderId="64" xfId="0" applyFont="1" applyFill="1" applyBorder="1" applyAlignment="1">
      <alignment horizontal="center" vertical="center" wrapText="1"/>
    </xf>
    <xf numFmtId="0" fontId="40" fillId="0" borderId="13" xfId="0" applyFont="1" applyBorder="1" applyAlignment="1">
      <alignment horizontal="center" vertical="center" wrapText="1"/>
    </xf>
    <xf numFmtId="0" fontId="40" fillId="0" borderId="38" xfId="0" applyFont="1" applyBorder="1" applyAlignment="1">
      <alignment horizontal="justify" vertical="center"/>
    </xf>
    <xf numFmtId="0" fontId="29" fillId="0" borderId="39" xfId="0" applyFont="1" applyBorder="1" applyAlignment="1">
      <alignment horizontal="center" vertical="center"/>
    </xf>
    <xf numFmtId="0" fontId="29" fillId="0" borderId="13" xfId="0" applyFont="1" applyBorder="1" applyAlignment="1">
      <alignment horizontal="justify" vertical="center" wrapText="1"/>
    </xf>
    <xf numFmtId="0" fontId="42" fillId="0" borderId="13" xfId="0" applyFont="1" applyBorder="1" applyAlignment="1">
      <alignment horizontal="center" vertical="center"/>
    </xf>
    <xf numFmtId="4" fontId="29" fillId="0" borderId="13" xfId="0" applyNumberFormat="1" applyFont="1" applyBorder="1" applyAlignment="1">
      <alignment horizontal="right" vertical="center" wrapText="1"/>
    </xf>
    <xf numFmtId="4" fontId="29" fillId="0" borderId="13" xfId="0" applyNumberFormat="1" applyFont="1" applyBorder="1" applyAlignment="1">
      <alignment vertical="center"/>
    </xf>
    <xf numFmtId="0" fontId="42" fillId="33" borderId="13" xfId="0" applyFont="1" applyFill="1" applyBorder="1" applyAlignment="1">
      <alignment horizontal="center" vertical="center"/>
    </xf>
    <xf numFmtId="0" fontId="29" fillId="33" borderId="13" xfId="0" applyFont="1" applyFill="1" applyBorder="1" applyAlignment="1">
      <alignment horizontal="justify" vertical="center" wrapText="1"/>
    </xf>
    <xf numFmtId="0" fontId="40" fillId="0" borderId="39" xfId="0" applyFont="1" applyBorder="1" applyAlignment="1">
      <alignment horizontal="justify" vertical="center"/>
    </xf>
    <xf numFmtId="4" fontId="40" fillId="0" borderId="13" xfId="0" applyNumberFormat="1" applyFont="1" applyBorder="1" applyAlignment="1">
      <alignment vertical="center"/>
    </xf>
    <xf numFmtId="177" fontId="42" fillId="0" borderId="13" xfId="81" applyFont="1" applyFill="1" applyBorder="1" applyAlignment="1" applyProtection="1">
      <alignment horizontal="right" vertical="center"/>
      <protection/>
    </xf>
    <xf numFmtId="3" fontId="42" fillId="33" borderId="13" xfId="0" applyNumberFormat="1" applyFont="1" applyFill="1" applyBorder="1" applyAlignment="1">
      <alignment horizontal="center" vertical="center"/>
    </xf>
    <xf numFmtId="0" fontId="41" fillId="33" borderId="65" xfId="0" applyFont="1" applyFill="1" applyBorder="1" applyAlignment="1">
      <alignment horizontal="center" vertical="center" wrapText="1"/>
    </xf>
    <xf numFmtId="0" fontId="40" fillId="0" borderId="37" xfId="0" applyFont="1" applyBorder="1" applyAlignment="1">
      <alignment horizontal="center" vertical="center" wrapText="1"/>
    </xf>
    <xf numFmtId="4" fontId="29" fillId="0" borderId="13" xfId="0" applyNumberFormat="1" applyFont="1" applyBorder="1" applyAlignment="1">
      <alignment horizontal="right" vertical="center"/>
    </xf>
    <xf numFmtId="4" fontId="29" fillId="0" borderId="37" xfId="0" applyNumberFormat="1" applyFont="1" applyBorder="1" applyAlignment="1">
      <alignment horizontal="right" vertical="center"/>
    </xf>
    <xf numFmtId="4" fontId="40" fillId="0" borderId="13" xfId="0" applyNumberFormat="1" applyFont="1" applyBorder="1" applyAlignment="1">
      <alignment horizontal="right" vertical="center"/>
    </xf>
    <xf numFmtId="4" fontId="40" fillId="0" borderId="37" xfId="0" applyNumberFormat="1" applyFont="1" applyBorder="1" applyAlignment="1">
      <alignment horizontal="center" vertical="center"/>
    </xf>
    <xf numFmtId="0" fontId="40" fillId="0" borderId="66" xfId="0" applyFont="1" applyBorder="1" applyAlignment="1">
      <alignment horizontal="center" vertical="center"/>
    </xf>
    <xf numFmtId="0" fontId="40" fillId="0" borderId="67" xfId="0" applyFont="1" applyBorder="1" applyAlignment="1">
      <alignment vertical="center"/>
    </xf>
    <xf numFmtId="4" fontId="40" fillId="0" borderId="68" xfId="0" applyNumberFormat="1" applyFont="1" applyBorder="1" applyAlignment="1">
      <alignment vertical="center"/>
    </xf>
    <xf numFmtId="4" fontId="40" fillId="0" borderId="41" xfId="0" applyNumberFormat="1"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xf>
    <xf numFmtId="0" fontId="43" fillId="0" borderId="0" xfId="0" applyFont="1" applyAlignment="1">
      <alignment/>
    </xf>
    <xf numFmtId="0" fontId="45" fillId="0" borderId="0" xfId="0" applyFont="1" applyBorder="1" applyAlignment="1">
      <alignment horizontal="center" vertical="center" wrapText="1"/>
    </xf>
    <xf numFmtId="0" fontId="46" fillId="0" borderId="0" xfId="0" applyFont="1" applyBorder="1" applyAlignment="1">
      <alignment horizontal="right" vertical="center"/>
    </xf>
    <xf numFmtId="0" fontId="44" fillId="0" borderId="0" xfId="0" applyFont="1" applyBorder="1" applyAlignment="1">
      <alignment horizontal="center" vertical="center"/>
    </xf>
    <xf numFmtId="0" fontId="47" fillId="0" borderId="35" xfId="0" applyFont="1" applyBorder="1" applyAlignment="1">
      <alignment horizontal="center" vertical="center" wrapText="1"/>
    </xf>
    <xf numFmtId="0" fontId="47" fillId="0" borderId="64" xfId="0" applyFont="1" applyBorder="1" applyAlignment="1">
      <alignment horizontal="center" vertical="center" wrapText="1"/>
    </xf>
    <xf numFmtId="0" fontId="48" fillId="33" borderId="64" xfId="0" applyFont="1" applyFill="1" applyBorder="1" applyAlignment="1">
      <alignment horizontal="center" vertical="center" wrapText="1"/>
    </xf>
    <xf numFmtId="0" fontId="47" fillId="0" borderId="65" xfId="0" applyFont="1" applyBorder="1" applyAlignment="1">
      <alignment horizontal="center" vertical="center" wrapText="1"/>
    </xf>
    <xf numFmtId="0" fontId="47" fillId="0" borderId="38" xfId="0" applyFont="1" applyBorder="1" applyAlignment="1">
      <alignment horizontal="justify" vertical="center"/>
    </xf>
    <xf numFmtId="0" fontId="44" fillId="0" borderId="39" xfId="0" applyFont="1" applyBorder="1" applyAlignment="1">
      <alignment horizontal="center"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4" fillId="0" borderId="13" xfId="0" applyFont="1" applyBorder="1" applyAlignment="1">
      <alignment horizontal="center" vertical="center"/>
    </xf>
    <xf numFmtId="3" fontId="44" fillId="0" borderId="13" xfId="0" applyNumberFormat="1" applyFont="1" applyBorder="1" applyAlignment="1">
      <alignment horizontal="center" vertical="center"/>
    </xf>
    <xf numFmtId="4" fontId="44" fillId="0" borderId="13" xfId="0" applyNumberFormat="1" applyFont="1" applyBorder="1" applyAlignment="1">
      <alignment horizontal="right" vertical="center"/>
    </xf>
    <xf numFmtId="4" fontId="44" fillId="0" borderId="69" xfId="0" applyNumberFormat="1" applyFont="1" applyBorder="1" applyAlignment="1">
      <alignment horizontal="right" vertical="center"/>
    </xf>
    <xf numFmtId="0" fontId="44" fillId="33" borderId="13" xfId="0" applyFont="1" applyFill="1" applyBorder="1" applyAlignment="1">
      <alignment horizontal="center" vertical="center"/>
    </xf>
    <xf numFmtId="0" fontId="49" fillId="33" borderId="13" xfId="0" applyFont="1" applyFill="1" applyBorder="1" applyAlignment="1">
      <alignment horizontal="justify" vertical="center" wrapText="1"/>
    </xf>
    <xf numFmtId="0" fontId="47" fillId="0" borderId="39" xfId="0" applyFont="1" applyBorder="1" applyAlignment="1">
      <alignment horizontal="justify" vertical="center"/>
    </xf>
    <xf numFmtId="4" fontId="47" fillId="0" borderId="69" xfId="0" applyNumberFormat="1" applyFont="1" applyBorder="1" applyAlignment="1">
      <alignment horizontal="right" vertical="center"/>
    </xf>
    <xf numFmtId="4" fontId="47" fillId="0" borderId="37" xfId="0" applyNumberFormat="1" applyFont="1" applyBorder="1" applyAlignment="1">
      <alignment horizontal="right" vertical="center"/>
    </xf>
    <xf numFmtId="0" fontId="46" fillId="0" borderId="40" xfId="0" applyFont="1" applyBorder="1" applyAlignment="1">
      <alignment horizontal="justify" vertical="center"/>
    </xf>
    <xf numFmtId="4" fontId="47" fillId="0" borderId="41" xfId="0" applyNumberFormat="1" applyFont="1" applyBorder="1" applyAlignment="1">
      <alignment horizontal="right" vertical="center"/>
    </xf>
    <xf numFmtId="0" fontId="47" fillId="33" borderId="64" xfId="0" applyFont="1" applyFill="1" applyBorder="1" applyAlignment="1">
      <alignment horizontal="center" vertical="center" wrapText="1"/>
    </xf>
  </cellXfs>
  <cellStyles count="70">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Moeda 2 2" xfId="24"/>
    <cellStyle name="Followed Hyperlink" xfId="25"/>
    <cellStyle name="Hyperlink" xfId="26"/>
    <cellStyle name="Observação" xfId="27"/>
    <cellStyle name="40% - Ênfase 2" xfId="28"/>
    <cellStyle name="Normal 2" xfId="29"/>
    <cellStyle name="40% - Ênfase 6" xfId="30"/>
    <cellStyle name="Texto de Aviso" xfId="31"/>
    <cellStyle name="Título" xfId="32"/>
    <cellStyle name="Texto Explicativo" xfId="33"/>
    <cellStyle name="Normal_Plan1" xfId="34"/>
    <cellStyle name="Título 1" xfId="35"/>
    <cellStyle name="Ênfase 3" xfId="36"/>
    <cellStyle name="Título 2" xfId="37"/>
    <cellStyle name="Ênfase 4" xfId="38"/>
    <cellStyle name="Título 3" xfId="39"/>
    <cellStyle name="Ênfase 5" xfId="40"/>
    <cellStyle name="Título 4" xfId="41"/>
    <cellStyle name="Ênfase 6" xfId="42"/>
    <cellStyle name="Entrada" xfId="43"/>
    <cellStyle name="Saída" xfId="44"/>
    <cellStyle name="Cálculo" xfId="45"/>
    <cellStyle name="Total" xfId="46"/>
    <cellStyle name="Normal 2 3" xfId="47"/>
    <cellStyle name="40% - Ênfase 1" xfId="48"/>
    <cellStyle name="Bom" xfId="49"/>
    <cellStyle name="Ruim" xfId="50"/>
    <cellStyle name="Neutro" xfId="51"/>
    <cellStyle name="20% - Ênfase 5" xfId="52"/>
    <cellStyle name="Ênfase 1" xfId="53"/>
    <cellStyle name="20% - Ênfase 1" xfId="54"/>
    <cellStyle name="60% - Ênfase 1" xfId="55"/>
    <cellStyle name="20% - Ênfase 6" xfId="56"/>
    <cellStyle name="Ênfase 2" xfId="57"/>
    <cellStyle name="20% - Ênfase 2" xfId="58"/>
    <cellStyle name="60% - Ênfase 2" xfId="59"/>
    <cellStyle name="40% - Ênfase 3" xfId="60"/>
    <cellStyle name="60% - Ênfase 3" xfId="61"/>
    <cellStyle name="20% - Ênfase 4" xfId="62"/>
    <cellStyle name="60% - Ênfase 4" xfId="63"/>
    <cellStyle name="40% - Ênfase 5" xfId="64"/>
    <cellStyle name="60% - Ênfase 5" xfId="65"/>
    <cellStyle name="60% - Ênfase 6" xfId="66"/>
    <cellStyle name="Normal 4" xfId="67"/>
    <cellStyle name="0,0&#13;&#10;NA&#13;&#10;" xfId="68"/>
    <cellStyle name="Currency 3" xfId="69"/>
    <cellStyle name="Normal 11 10 2" xfId="70"/>
    <cellStyle name="Normal 19" xfId="71"/>
    <cellStyle name="Normal 2 2 2" xfId="72"/>
    <cellStyle name="Normal 3" xfId="73"/>
    <cellStyle name="Normal 4 2" xfId="74"/>
    <cellStyle name="Normal_20." xfId="75"/>
    <cellStyle name="Normal_BR232PE ED 002-DEMO LOTE I" xfId="76"/>
    <cellStyle name="Porcentagem 2" xfId="77"/>
    <cellStyle name="Porcentagem 2 2" xfId="78"/>
    <cellStyle name="Separador de milhares 2" xfId="79"/>
    <cellStyle name="Separador de milhares 3" xfId="80"/>
    <cellStyle name="Vírgula 2" xfId="81"/>
    <cellStyle name="Vírgula 2 3 2" xfId="82"/>
    <cellStyle name="Vírgula 3"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1752600</xdr:colOff>
      <xdr:row>0</xdr:row>
      <xdr:rowOff>57150</xdr:rowOff>
    </xdr:from>
    <xdr:to>
      <xdr:col>2</xdr:col>
      <xdr:colOff>4181475</xdr:colOff>
      <xdr:row>0</xdr:row>
      <xdr:rowOff>866775</xdr:rowOff>
    </xdr:to>
    <xdr:pic>
      <xdr:nvPicPr>
        <xdr:cNvPr id="1" name="Picture 16"/>
        <xdr:cNvPicPr preferRelativeResize="1">
          <a:picLocks noChangeAspect="1"/>
        </xdr:cNvPicPr>
      </xdr:nvPicPr>
      <xdr:blipFill>
        <a:blip r:embed="rId1"/>
        <a:stretch>
          <a:fillRect/>
        </a:stretch>
      </xdr:blipFill>
      <xdr:spPr>
        <a:xfrm>
          <a:off x="3848100" y="57150"/>
          <a:ext cx="24288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3581400</xdr:colOff>
      <xdr:row>0</xdr:row>
      <xdr:rowOff>133350</xdr:rowOff>
    </xdr:from>
    <xdr:to>
      <xdr:col>2</xdr:col>
      <xdr:colOff>5657850</xdr:colOff>
      <xdr:row>1</xdr:row>
      <xdr:rowOff>19050</xdr:rowOff>
    </xdr:to>
    <xdr:pic>
      <xdr:nvPicPr>
        <xdr:cNvPr id="1" name="Picture 16"/>
        <xdr:cNvPicPr preferRelativeResize="1">
          <a:picLocks noChangeAspect="1"/>
        </xdr:cNvPicPr>
      </xdr:nvPicPr>
      <xdr:blipFill>
        <a:blip r:embed="rId1"/>
        <a:stretch>
          <a:fillRect/>
        </a:stretch>
      </xdr:blipFill>
      <xdr:spPr>
        <a:xfrm>
          <a:off x="5438775" y="133350"/>
          <a:ext cx="20764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2828925</xdr:colOff>
      <xdr:row>0</xdr:row>
      <xdr:rowOff>114300</xdr:rowOff>
    </xdr:from>
    <xdr:to>
      <xdr:col>5</xdr:col>
      <xdr:colOff>66675</xdr:colOff>
      <xdr:row>1</xdr:row>
      <xdr:rowOff>76200</xdr:rowOff>
    </xdr:to>
    <xdr:pic>
      <xdr:nvPicPr>
        <xdr:cNvPr id="1" name="Picture 16"/>
        <xdr:cNvPicPr preferRelativeResize="1">
          <a:picLocks noChangeAspect="1"/>
        </xdr:cNvPicPr>
      </xdr:nvPicPr>
      <xdr:blipFill>
        <a:blip r:embed="rId1"/>
        <a:stretch>
          <a:fillRect/>
        </a:stretch>
      </xdr:blipFill>
      <xdr:spPr>
        <a:xfrm>
          <a:off x="4591050" y="114300"/>
          <a:ext cx="24098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847725</xdr:colOff>
      <xdr:row>0</xdr:row>
      <xdr:rowOff>85725</xdr:rowOff>
    </xdr:from>
    <xdr:to>
      <xdr:col>8</xdr:col>
      <xdr:colOff>542925</xdr:colOff>
      <xdr:row>1</xdr:row>
      <xdr:rowOff>95250</xdr:rowOff>
    </xdr:to>
    <xdr:pic>
      <xdr:nvPicPr>
        <xdr:cNvPr id="1" name="Picture 16"/>
        <xdr:cNvPicPr preferRelativeResize="1">
          <a:picLocks noChangeAspect="1"/>
        </xdr:cNvPicPr>
      </xdr:nvPicPr>
      <xdr:blipFill>
        <a:blip r:embed="rId1"/>
        <a:stretch>
          <a:fillRect/>
        </a:stretch>
      </xdr:blipFill>
      <xdr:spPr>
        <a:xfrm>
          <a:off x="6667500" y="85725"/>
          <a:ext cx="24288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4343400</xdr:colOff>
      <xdr:row>0</xdr:row>
      <xdr:rowOff>66675</xdr:rowOff>
    </xdr:from>
    <xdr:to>
      <xdr:col>2</xdr:col>
      <xdr:colOff>6410325</xdr:colOff>
      <xdr:row>0</xdr:row>
      <xdr:rowOff>819150</xdr:rowOff>
    </xdr:to>
    <xdr:pic>
      <xdr:nvPicPr>
        <xdr:cNvPr id="1" name="Picture 22"/>
        <xdr:cNvPicPr preferRelativeResize="1">
          <a:picLocks noChangeAspect="1"/>
        </xdr:cNvPicPr>
      </xdr:nvPicPr>
      <xdr:blipFill>
        <a:blip r:embed="rId1"/>
        <a:stretch>
          <a:fillRect/>
        </a:stretch>
      </xdr:blipFill>
      <xdr:spPr>
        <a:xfrm>
          <a:off x="6419850" y="66675"/>
          <a:ext cx="2066925" cy="752475"/>
        </a:xfrm>
        <a:prstGeom prst="rect">
          <a:avLst/>
        </a:prstGeom>
        <a:noFill/>
        <a:ln w="9525" cmpd="sng">
          <a:noFill/>
        </a:ln>
      </xdr:spPr>
    </xdr:pic>
    <xdr:clientData/>
  </xdr:twoCellAnchor>
  <xdr:twoCellAnchor>
    <xdr:from>
      <xdr:col>2</xdr:col>
      <xdr:colOff>4343400</xdr:colOff>
      <xdr:row>0</xdr:row>
      <xdr:rowOff>66675</xdr:rowOff>
    </xdr:from>
    <xdr:to>
      <xdr:col>2</xdr:col>
      <xdr:colOff>6410325</xdr:colOff>
      <xdr:row>0</xdr:row>
      <xdr:rowOff>819150</xdr:rowOff>
    </xdr:to>
    <xdr:pic>
      <xdr:nvPicPr>
        <xdr:cNvPr id="2" name="Picture 23"/>
        <xdr:cNvPicPr preferRelativeResize="1">
          <a:picLocks noChangeAspect="1"/>
        </xdr:cNvPicPr>
      </xdr:nvPicPr>
      <xdr:blipFill>
        <a:blip r:embed="rId2"/>
        <a:stretch>
          <a:fillRect/>
        </a:stretch>
      </xdr:blipFill>
      <xdr:spPr>
        <a:xfrm>
          <a:off x="6419850" y="66675"/>
          <a:ext cx="20669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1819275</xdr:colOff>
      <xdr:row>0</xdr:row>
      <xdr:rowOff>142875</xdr:rowOff>
    </xdr:from>
    <xdr:to>
      <xdr:col>3</xdr:col>
      <xdr:colOff>190500</xdr:colOff>
      <xdr:row>1</xdr:row>
      <xdr:rowOff>38100</xdr:rowOff>
    </xdr:to>
    <xdr:pic>
      <xdr:nvPicPr>
        <xdr:cNvPr id="1" name="Picture 16"/>
        <xdr:cNvPicPr preferRelativeResize="1">
          <a:picLocks noChangeAspect="1"/>
        </xdr:cNvPicPr>
      </xdr:nvPicPr>
      <xdr:blipFill>
        <a:blip r:embed="rId1"/>
        <a:stretch>
          <a:fillRect/>
        </a:stretch>
      </xdr:blipFill>
      <xdr:spPr>
        <a:xfrm>
          <a:off x="3495675" y="142875"/>
          <a:ext cx="20574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16</xdr:row>
      <xdr:rowOff>38100</xdr:rowOff>
    </xdr:from>
    <xdr:to>
      <xdr:col>2</xdr:col>
      <xdr:colOff>2114550</xdr:colOff>
      <xdr:row>18</xdr:row>
      <xdr:rowOff>171450</xdr:rowOff>
    </xdr:to>
    <xdr:sp>
      <xdr:nvSpPr>
        <xdr:cNvPr id="1" name="TextBox 31"/>
        <xdr:cNvSpPr txBox="1">
          <a:spLocks noChangeArrowheads="1"/>
        </xdr:cNvSpPr>
      </xdr:nvSpPr>
      <xdr:spPr>
        <a:xfrm>
          <a:off x="1647825" y="9182100"/>
          <a:ext cx="4371975" cy="53340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ĀBDI={[((1+(AC+R+S+G))(1+DF)(1+L))/(1-I)]"-1" }∗100</a:t>
          </a:r>
        </a:p>
      </xdr:txBody>
    </xdr:sp>
    <xdr:clientData/>
  </xdr:twoCellAnchor>
  <xdr:twoCellAnchor>
    <xdr:from>
      <xdr:col>1</xdr:col>
      <xdr:colOff>381000</xdr:colOff>
      <xdr:row>0</xdr:row>
      <xdr:rowOff>104775</xdr:rowOff>
    </xdr:from>
    <xdr:to>
      <xdr:col>2</xdr:col>
      <xdr:colOff>1552575</xdr:colOff>
      <xdr:row>0</xdr:row>
      <xdr:rowOff>847725</xdr:rowOff>
    </xdr:to>
    <xdr:pic>
      <xdr:nvPicPr>
        <xdr:cNvPr id="2" name="Picture 32"/>
        <xdr:cNvPicPr preferRelativeResize="1">
          <a:picLocks noChangeAspect="1"/>
        </xdr:cNvPicPr>
      </xdr:nvPicPr>
      <xdr:blipFill>
        <a:blip r:embed="rId1"/>
        <a:stretch>
          <a:fillRect/>
        </a:stretch>
      </xdr:blipFill>
      <xdr:spPr>
        <a:xfrm>
          <a:off x="3200400" y="104775"/>
          <a:ext cx="225742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161925</xdr:rowOff>
    </xdr:from>
    <xdr:to>
      <xdr:col>5</xdr:col>
      <xdr:colOff>104775</xdr:colOff>
      <xdr:row>0</xdr:row>
      <xdr:rowOff>790575</xdr:rowOff>
    </xdr:to>
    <xdr:pic>
      <xdr:nvPicPr>
        <xdr:cNvPr id="1" name="Picture 16"/>
        <xdr:cNvPicPr preferRelativeResize="1">
          <a:picLocks noChangeAspect="1"/>
        </xdr:cNvPicPr>
      </xdr:nvPicPr>
      <xdr:blipFill>
        <a:blip r:embed="rId1"/>
        <a:stretch>
          <a:fillRect/>
        </a:stretch>
      </xdr:blipFill>
      <xdr:spPr>
        <a:xfrm>
          <a:off x="2990850" y="161925"/>
          <a:ext cx="259080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3581400</xdr:colOff>
      <xdr:row>0</xdr:row>
      <xdr:rowOff>133350</xdr:rowOff>
    </xdr:from>
    <xdr:to>
      <xdr:col>2</xdr:col>
      <xdr:colOff>5657850</xdr:colOff>
      <xdr:row>1</xdr:row>
      <xdr:rowOff>19050</xdr:rowOff>
    </xdr:to>
    <xdr:pic>
      <xdr:nvPicPr>
        <xdr:cNvPr id="1" name="Picture 8"/>
        <xdr:cNvPicPr preferRelativeResize="1">
          <a:picLocks noChangeAspect="1"/>
        </xdr:cNvPicPr>
      </xdr:nvPicPr>
      <xdr:blipFill>
        <a:blip r:embed="rId1"/>
        <a:stretch>
          <a:fillRect/>
        </a:stretch>
      </xdr:blipFill>
      <xdr:spPr>
        <a:xfrm>
          <a:off x="5438775" y="133350"/>
          <a:ext cx="2076450" cy="314325"/>
        </a:xfrm>
        <a:prstGeom prst="rect">
          <a:avLst/>
        </a:prstGeom>
        <a:noFill/>
        <a:ln w="9525" cmpd="sng">
          <a:noFill/>
        </a:ln>
      </xdr:spPr>
    </xdr:pic>
    <xdr:clientData/>
  </xdr:twoCellAnchor>
  <xdr:twoCellAnchor>
    <xdr:from>
      <xdr:col>2</xdr:col>
      <xdr:colOff>3581400</xdr:colOff>
      <xdr:row>0</xdr:row>
      <xdr:rowOff>133350</xdr:rowOff>
    </xdr:from>
    <xdr:to>
      <xdr:col>2</xdr:col>
      <xdr:colOff>5657850</xdr:colOff>
      <xdr:row>1</xdr:row>
      <xdr:rowOff>19050</xdr:rowOff>
    </xdr:to>
    <xdr:pic>
      <xdr:nvPicPr>
        <xdr:cNvPr id="2" name="Picture 9"/>
        <xdr:cNvPicPr preferRelativeResize="1">
          <a:picLocks noChangeAspect="1"/>
        </xdr:cNvPicPr>
      </xdr:nvPicPr>
      <xdr:blipFill>
        <a:blip r:embed="rId1"/>
        <a:stretch>
          <a:fillRect/>
        </a:stretch>
      </xdr:blipFill>
      <xdr:spPr>
        <a:xfrm>
          <a:off x="5438775" y="133350"/>
          <a:ext cx="20764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louise\Downloads\PLANILHA%20OR&#199;AMENT&#193;RIA%20BASE%20-%20Principal%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199;_MAN_RUAS_R02_2021%20correco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ORÇAMENTÁRIA"/>
      <sheetName val="MEMÓRIA DE CALCULO"/>
      <sheetName val="ABC NOVA"/>
      <sheetName val="CRON. FIS. FIN."/>
      <sheetName val="CRON. FIS."/>
      <sheetName val="CANAIS - RESUMO"/>
      <sheetName val="RUAS Ñ PAVIMENTADAS"/>
      <sheetName val="RUAS Ñ PAVIMENTADAS - RESUMO"/>
      <sheetName val="RUAS PAVIMENTADAS"/>
      <sheetName val="ESTRADAS VICINAIS"/>
      <sheetName val="Estradas Vicinais Planilha"/>
      <sheetName val="ESTRADAS VICINAIS - RESUMO"/>
      <sheetName val="DMT P TRANS PRANCHAS e HIDRO"/>
      <sheetName val="EMULSÃO ASFALTICA"/>
      <sheetName val="CANAIS CAMELA"/>
      <sheetName val="CANAIS IPOJUCA"/>
      <sheetName val="CANAIS NSO"/>
      <sheetName val="Simulador JUROS INCC.POUPANÇA"/>
      <sheetName val="JUROS POUPANÇA"/>
      <sheetName val="COMP.001 ADM OBRAS"/>
      <sheetName val="COMP.002 HIDRO NOVO"/>
      <sheetName val=" COMP.003 CAMINHONETE 4x4"/>
      <sheetName val="COMP.004 VEICULO PASSEIO"/>
      <sheetName val="SINAPI Hidrojato"/>
      <sheetName val="Vida útil deprec EQUIP E VEIC"/>
      <sheetName val="COMP.002 CAM PIPA Ñ USAR"/>
      <sheetName val="COMP.003 HIDRO - Ñ USAR"/>
      <sheetName val="COMP.003 HIDROJ. USADO - Ñ USAR"/>
      <sheetName val="NÃO USAR - ABC"/>
      <sheetName val="CURVA ABC Ñ USAR"/>
    </sheetNames>
    <sheetDataSet>
      <sheetData sheetId="19">
        <row r="5">
          <cell r="D5" t="str">
            <v>MÊS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iva de custos lote 1"/>
      <sheetName val="estimativa de custos lote 2"/>
      <sheetName val="rateio lote 1 adm local e bdi"/>
      <sheetName val="rateio lote 2 adm local e bdi"/>
      <sheetName val="veículo passeio"/>
      <sheetName val="insumos"/>
      <sheetName val="demonstrativo BDI"/>
      <sheetName val="RESUMO"/>
      <sheetName val="ORÇAMENTO BÁSICO"/>
      <sheetName val="MEMORIA DE CALCULO"/>
      <sheetName val="CRONOGRAMA"/>
      <sheetName val="CURVA ABC"/>
      <sheetName val="COMP 001"/>
      <sheetName val="BDI"/>
      <sheetName val="INVENTÁRIO RUAS"/>
      <sheetName val="MODELO SEM PREÇO"/>
      <sheetName val="Plan1"/>
    </sheetNames>
    <sheetDataSet>
      <sheetData sheetId="7">
        <row r="3">
          <cell r="B3" t="str">
            <v>CONTRATAÇÃO DE EMPRESA ESPECIALIZADA NA ÁREA DE ENGENHARIA PARA A EXECUÇÃO DOS SERVIÇOS DE MANUTENÇÃO/CONSERVAÇÃO DA INFRAESTRUTURA VIÁRIA NO MUNICÍPIO DE CAMARAGIBE.</v>
          </cell>
        </row>
        <row r="4">
          <cell r="B4" t="str">
            <v>TODO MUNICÍPIO DE CAMARAGIBE/PE.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92"/>
  <sheetViews>
    <sheetView showGridLines="0" view="pageBreakPreview" zoomScaleSheetLayoutView="100" workbookViewId="0" topLeftCell="A85">
      <selection activeCell="C51" sqref="C51"/>
    </sheetView>
  </sheetViews>
  <sheetFormatPr defaultColWidth="9.140625" defaultRowHeight="15"/>
  <cols>
    <col min="1" max="1" width="2.7109375" style="576" bestFit="1" customWidth="1"/>
    <col min="2" max="2" width="9.7109375" style="576" bestFit="1" customWidth="1"/>
    <col min="3" max="3" width="18.140625" style="576" bestFit="1" customWidth="1"/>
    <col min="4" max="4" width="90.7109375" style="576" bestFit="1" customWidth="1"/>
    <col min="5" max="5" width="13.140625" style="576" bestFit="1" customWidth="1"/>
    <col min="6" max="6" width="14.8515625" style="576" bestFit="1" customWidth="1"/>
    <col min="7" max="8" width="14.7109375" style="576" bestFit="1" customWidth="1"/>
    <col min="9" max="9" width="2.7109375" style="576" bestFit="1" customWidth="1"/>
    <col min="10" max="16384" width="9.140625" style="576" bestFit="1" customWidth="1"/>
  </cols>
  <sheetData>
    <row r="1" spans="1:9" s="573" customFormat="1" ht="18.75" customHeight="1">
      <c r="A1" s="577" t="s">
        <v>0</v>
      </c>
      <c r="B1" s="577"/>
      <c r="C1" s="577"/>
      <c r="D1" s="577"/>
      <c r="E1" s="577"/>
      <c r="F1" s="577"/>
      <c r="G1" s="577"/>
      <c r="H1" s="577"/>
      <c r="I1" s="577"/>
    </row>
    <row r="2" spans="1:9" s="573" customFormat="1" ht="18.75" customHeight="1">
      <c r="A2" s="577"/>
      <c r="B2" s="577"/>
      <c r="C2" s="577"/>
      <c r="D2" s="577"/>
      <c r="E2" s="577"/>
      <c r="F2" s="577"/>
      <c r="G2" s="577"/>
      <c r="H2" s="577"/>
      <c r="I2" s="577"/>
    </row>
    <row r="3" spans="2:8" s="573" customFormat="1" ht="18.75" customHeight="1">
      <c r="B3" s="578" t="s">
        <v>1</v>
      </c>
      <c r="C3" s="578"/>
      <c r="D3" s="578"/>
      <c r="E3" s="578"/>
      <c r="F3" s="578"/>
      <c r="G3" s="578"/>
      <c r="H3" s="578"/>
    </row>
    <row r="4" spans="2:8" s="573" customFormat="1" ht="9.75" customHeight="1">
      <c r="B4" s="579"/>
      <c r="C4" s="579"/>
      <c r="D4" s="579"/>
      <c r="E4" s="579"/>
      <c r="F4" s="579"/>
      <c r="G4" s="579"/>
      <c r="H4" s="579"/>
    </row>
    <row r="5" spans="2:8" s="573" customFormat="1" ht="18.75" customHeight="1">
      <c r="B5" s="580" t="s">
        <v>2</v>
      </c>
      <c r="C5" s="581" t="s">
        <v>3</v>
      </c>
      <c r="D5" s="581" t="s">
        <v>4</v>
      </c>
      <c r="E5" s="581" t="s">
        <v>5</v>
      </c>
      <c r="F5" s="599" t="s">
        <v>6</v>
      </c>
      <c r="G5" s="581" t="s">
        <v>7</v>
      </c>
      <c r="H5" s="583" t="s">
        <v>8</v>
      </c>
    </row>
    <row r="6" spans="2:8" s="573" customFormat="1" ht="18.75" customHeight="1">
      <c r="B6" s="580"/>
      <c r="C6" s="581"/>
      <c r="D6" s="581"/>
      <c r="E6" s="581"/>
      <c r="F6" s="599"/>
      <c r="G6" s="581"/>
      <c r="H6" s="583"/>
    </row>
    <row r="7" spans="2:8" s="574" customFormat="1" ht="18.75" customHeight="1">
      <c r="B7" s="584" t="s">
        <v>9</v>
      </c>
      <c r="C7" s="584"/>
      <c r="D7" s="584"/>
      <c r="E7" s="584"/>
      <c r="F7" s="584"/>
      <c r="G7" s="584"/>
      <c r="H7" s="584"/>
    </row>
    <row r="8" spans="2:8" s="574" customFormat="1" ht="18.75" customHeight="1">
      <c r="B8" s="585" t="s">
        <v>10</v>
      </c>
      <c r="C8" s="586" t="s">
        <v>11</v>
      </c>
      <c r="D8" s="587" t="s">
        <v>12</v>
      </c>
      <c r="E8" s="588" t="s">
        <v>13</v>
      </c>
      <c r="F8" s="589">
        <f>'rateio lote 1 adm local e bdi'!E8</f>
        <v>180</v>
      </c>
      <c r="G8" s="590" t="e">
        <f>'rateio lote 1 adm local e bdi'!K8</f>
        <v>#REF!</v>
      </c>
      <c r="H8" s="591" t="e">
        <f aca="true" t="shared" si="0" ref="H8:H23">F8*G8</f>
        <v>#REF!</v>
      </c>
    </row>
    <row r="9" spans="2:8" s="574" customFormat="1" ht="18.75" customHeight="1">
      <c r="B9" s="585" t="s">
        <v>14</v>
      </c>
      <c r="C9" s="586" t="s">
        <v>15</v>
      </c>
      <c r="D9" s="587" t="s">
        <v>16</v>
      </c>
      <c r="E9" s="588" t="s">
        <v>13</v>
      </c>
      <c r="F9" s="589">
        <f>'rateio lote 1 adm local e bdi'!E9</f>
        <v>180</v>
      </c>
      <c r="G9" s="590" t="e">
        <f>'rateio lote 1 adm local e bdi'!K9</f>
        <v>#REF!</v>
      </c>
      <c r="H9" s="591" t="e">
        <f t="shared" si="0"/>
        <v>#REF!</v>
      </c>
    </row>
    <row r="10" spans="2:8" s="574" customFormat="1" ht="18.75" customHeight="1">
      <c r="B10" s="585" t="s">
        <v>17</v>
      </c>
      <c r="C10" s="586" t="s">
        <v>18</v>
      </c>
      <c r="D10" s="587" t="s">
        <v>19</v>
      </c>
      <c r="E10" s="588" t="s">
        <v>20</v>
      </c>
      <c r="F10" s="589">
        <f>'rateio lote 1 adm local e bdi'!E10</f>
        <v>70</v>
      </c>
      <c r="G10" s="590" t="e">
        <f>'rateio lote 1 adm local e bdi'!K10</f>
        <v>#REF!</v>
      </c>
      <c r="H10" s="591" t="e">
        <f t="shared" si="0"/>
        <v>#REF!</v>
      </c>
    </row>
    <row r="11" spans="2:8" s="574" customFormat="1" ht="18.75" customHeight="1">
      <c r="B11" s="585" t="s">
        <v>21</v>
      </c>
      <c r="C11" s="586" t="s">
        <v>22</v>
      </c>
      <c r="D11" s="587" t="s">
        <v>23</v>
      </c>
      <c r="E11" s="588" t="s">
        <v>20</v>
      </c>
      <c r="F11" s="589">
        <f>'rateio lote 1 adm local e bdi'!E11</f>
        <v>20</v>
      </c>
      <c r="G11" s="590" t="e">
        <f>'rateio lote 1 adm local e bdi'!K11</f>
        <v>#REF!</v>
      </c>
      <c r="H11" s="591" t="e">
        <f t="shared" si="0"/>
        <v>#REF!</v>
      </c>
    </row>
    <row r="12" spans="2:8" s="574" customFormat="1" ht="18.75" customHeight="1">
      <c r="B12" s="585" t="s">
        <v>24</v>
      </c>
      <c r="C12" s="586" t="s">
        <v>25</v>
      </c>
      <c r="D12" s="587" t="s">
        <v>26</v>
      </c>
      <c r="E12" s="588" t="s">
        <v>13</v>
      </c>
      <c r="F12" s="589">
        <f>'rateio lote 1 adm local e bdi'!E12</f>
        <v>300</v>
      </c>
      <c r="G12" s="590" t="e">
        <f>'rateio lote 1 adm local e bdi'!K12</f>
        <v>#REF!</v>
      </c>
      <c r="H12" s="591" t="e">
        <f t="shared" si="0"/>
        <v>#REF!</v>
      </c>
    </row>
    <row r="13" spans="2:8" s="574" customFormat="1" ht="18.75" customHeight="1">
      <c r="B13" s="585" t="s">
        <v>27</v>
      </c>
      <c r="C13" s="586" t="s">
        <v>28</v>
      </c>
      <c r="D13" s="587" t="s">
        <v>29</v>
      </c>
      <c r="E13" s="588" t="s">
        <v>13</v>
      </c>
      <c r="F13" s="589">
        <f>'rateio lote 1 adm local e bdi'!E13</f>
        <v>150</v>
      </c>
      <c r="G13" s="590" t="e">
        <f>'rateio lote 1 adm local e bdi'!K13</f>
        <v>#REF!</v>
      </c>
      <c r="H13" s="591" t="e">
        <f t="shared" si="0"/>
        <v>#REF!</v>
      </c>
    </row>
    <row r="14" spans="2:8" s="574" customFormat="1" ht="18.75" customHeight="1">
      <c r="B14" s="585" t="s">
        <v>30</v>
      </c>
      <c r="C14" s="586" t="s">
        <v>31</v>
      </c>
      <c r="D14" s="587" t="s">
        <v>32</v>
      </c>
      <c r="E14" s="588" t="s">
        <v>13</v>
      </c>
      <c r="F14" s="589">
        <f>'rateio lote 1 adm local e bdi'!E14</f>
        <v>120</v>
      </c>
      <c r="G14" s="590" t="e">
        <f>'rateio lote 1 adm local e bdi'!K14</f>
        <v>#REF!</v>
      </c>
      <c r="H14" s="591" t="e">
        <f t="shared" si="0"/>
        <v>#REF!</v>
      </c>
    </row>
    <row r="15" spans="2:8" s="574" customFormat="1" ht="18.75" customHeight="1">
      <c r="B15" s="585" t="s">
        <v>33</v>
      </c>
      <c r="C15" s="586" t="s">
        <v>34</v>
      </c>
      <c r="D15" s="587" t="s">
        <v>35</v>
      </c>
      <c r="E15" s="588" t="s">
        <v>36</v>
      </c>
      <c r="F15" s="589">
        <f>'rateio lote 1 adm local e bdi'!E15</f>
        <v>240</v>
      </c>
      <c r="G15" s="590" t="e">
        <f>'rateio lote 1 adm local e bdi'!K15</f>
        <v>#REF!</v>
      </c>
      <c r="H15" s="591" t="e">
        <f t="shared" si="0"/>
        <v>#REF!</v>
      </c>
    </row>
    <row r="16" spans="2:8" s="574" customFormat="1" ht="18.75" customHeight="1">
      <c r="B16" s="585" t="s">
        <v>37</v>
      </c>
      <c r="C16" s="586" t="s">
        <v>38</v>
      </c>
      <c r="D16" s="587" t="s">
        <v>39</v>
      </c>
      <c r="E16" s="588" t="s">
        <v>36</v>
      </c>
      <c r="F16" s="589">
        <f>'rateio lote 1 adm local e bdi'!E16</f>
        <v>240</v>
      </c>
      <c r="G16" s="590" t="e">
        <f>'rateio lote 1 adm local e bdi'!K16</f>
        <v>#REF!</v>
      </c>
      <c r="H16" s="591" t="e">
        <f t="shared" si="0"/>
        <v>#REF!</v>
      </c>
    </row>
    <row r="17" spans="2:8" s="574" customFormat="1" ht="22.5">
      <c r="B17" s="585" t="s">
        <v>40</v>
      </c>
      <c r="C17" s="586" t="s">
        <v>41</v>
      </c>
      <c r="D17" s="587" t="s">
        <v>42</v>
      </c>
      <c r="E17" s="592" t="s">
        <v>43</v>
      </c>
      <c r="F17" s="589">
        <f>'rateio lote 1 adm local e bdi'!E17</f>
        <v>3</v>
      </c>
      <c r="G17" s="590" t="e">
        <f>'rateio lote 1 adm local e bdi'!K17</f>
        <v>#REF!</v>
      </c>
      <c r="H17" s="591" t="e">
        <f t="shared" si="0"/>
        <v>#REF!</v>
      </c>
    </row>
    <row r="18" spans="2:8" s="574" customFormat="1" ht="45">
      <c r="B18" s="585" t="s">
        <v>44</v>
      </c>
      <c r="C18" s="586" t="s">
        <v>45</v>
      </c>
      <c r="D18" s="593" t="s">
        <v>46</v>
      </c>
      <c r="E18" s="592" t="s">
        <v>20</v>
      </c>
      <c r="F18" s="589">
        <f>'rateio lote 1 adm local e bdi'!E18</f>
        <v>180</v>
      </c>
      <c r="G18" s="590" t="e">
        <f>'rateio lote 1 adm local e bdi'!K18</f>
        <v>#REF!</v>
      </c>
      <c r="H18" s="591" t="e">
        <f t="shared" si="0"/>
        <v>#REF!</v>
      </c>
    </row>
    <row r="19" spans="2:8" s="574" customFormat="1" ht="18.75" customHeight="1">
      <c r="B19" s="585" t="s">
        <v>47</v>
      </c>
      <c r="C19" s="586" t="s">
        <v>48</v>
      </c>
      <c r="D19" s="593" t="s">
        <v>49</v>
      </c>
      <c r="E19" s="592" t="s">
        <v>36</v>
      </c>
      <c r="F19" s="589">
        <f>'rateio lote 1 adm local e bdi'!E19</f>
        <v>180</v>
      </c>
      <c r="G19" s="590" t="e">
        <f>'rateio lote 1 adm local e bdi'!K19</f>
        <v>#REF!</v>
      </c>
      <c r="H19" s="591" t="e">
        <f t="shared" si="0"/>
        <v>#REF!</v>
      </c>
    </row>
    <row r="20" spans="2:8" s="574" customFormat="1" ht="18.75" customHeight="1">
      <c r="B20" s="585" t="s">
        <v>50</v>
      </c>
      <c r="C20" s="586" t="s">
        <v>51</v>
      </c>
      <c r="D20" s="593" t="s">
        <v>49</v>
      </c>
      <c r="E20" s="592" t="s">
        <v>36</v>
      </c>
      <c r="F20" s="589">
        <f>'rateio lote 1 adm local e bdi'!E20</f>
        <v>180</v>
      </c>
      <c r="G20" s="590" t="e">
        <f>'rateio lote 1 adm local e bdi'!K20</f>
        <v>#REF!</v>
      </c>
      <c r="H20" s="591" t="e">
        <f t="shared" si="0"/>
        <v>#REF!</v>
      </c>
    </row>
    <row r="21" spans="2:8" s="574" customFormat="1" ht="18.75" customHeight="1">
      <c r="B21" s="585" t="s">
        <v>52</v>
      </c>
      <c r="C21" s="586" t="s">
        <v>53</v>
      </c>
      <c r="D21" s="593" t="s">
        <v>54</v>
      </c>
      <c r="E21" s="592" t="s">
        <v>36</v>
      </c>
      <c r="F21" s="589">
        <f>'rateio lote 1 adm local e bdi'!E21</f>
        <v>100</v>
      </c>
      <c r="G21" s="590" t="e">
        <f>'rateio lote 1 adm local e bdi'!K21</f>
        <v>#REF!</v>
      </c>
      <c r="H21" s="591" t="e">
        <f t="shared" si="0"/>
        <v>#REF!</v>
      </c>
    </row>
    <row r="22" spans="2:8" s="574" customFormat="1" ht="18.75" customHeight="1">
      <c r="B22" s="585" t="s">
        <v>55</v>
      </c>
      <c r="C22" s="586" t="s">
        <v>56</v>
      </c>
      <c r="D22" s="593" t="s">
        <v>57</v>
      </c>
      <c r="E22" s="592" t="s">
        <v>36</v>
      </c>
      <c r="F22" s="589">
        <f>'rateio lote 1 adm local e bdi'!E22</f>
        <v>50</v>
      </c>
      <c r="G22" s="590" t="e">
        <f>'rateio lote 1 adm local e bdi'!K22</f>
        <v>#REF!</v>
      </c>
      <c r="H22" s="591" t="e">
        <f t="shared" si="0"/>
        <v>#REF!</v>
      </c>
    </row>
    <row r="23" spans="2:8" s="574" customFormat="1" ht="18.75" customHeight="1">
      <c r="B23" s="585" t="s">
        <v>58</v>
      </c>
      <c r="C23" s="586" t="s">
        <v>59</v>
      </c>
      <c r="D23" s="593" t="s">
        <v>60</v>
      </c>
      <c r="E23" s="592" t="s">
        <v>36</v>
      </c>
      <c r="F23" s="589">
        <f>'rateio lote 1 adm local e bdi'!E23</f>
        <v>30</v>
      </c>
      <c r="G23" s="590" t="e">
        <f>'rateio lote 1 adm local e bdi'!K23</f>
        <v>#REF!</v>
      </c>
      <c r="H23" s="591" t="e">
        <f t="shared" si="0"/>
        <v>#REF!</v>
      </c>
    </row>
    <row r="24" spans="2:8" s="574" customFormat="1" ht="18.75" customHeight="1">
      <c r="B24" s="594" t="s">
        <v>61</v>
      </c>
      <c r="C24" s="594"/>
      <c r="D24" s="594"/>
      <c r="E24" s="594"/>
      <c r="F24" s="594"/>
      <c r="G24" s="594"/>
      <c r="H24" s="595" t="e">
        <f>SUM(H8:H23)</f>
        <v>#REF!</v>
      </c>
    </row>
    <row r="25" spans="2:8" s="574" customFormat="1" ht="18.75" customHeight="1">
      <c r="B25" s="584" t="s">
        <v>62</v>
      </c>
      <c r="C25" s="584"/>
      <c r="D25" s="584"/>
      <c r="E25" s="584"/>
      <c r="F25" s="584"/>
      <c r="G25" s="584"/>
      <c r="H25" s="584"/>
    </row>
    <row r="26" spans="2:8" s="574" customFormat="1" ht="33.75">
      <c r="B26" s="585" t="s">
        <v>63</v>
      </c>
      <c r="C26" s="586" t="s">
        <v>64</v>
      </c>
      <c r="D26" s="587" t="s">
        <v>65</v>
      </c>
      <c r="E26" s="588" t="s">
        <v>36</v>
      </c>
      <c r="F26" s="589">
        <f>'rateio lote 1 adm local e bdi'!E26</f>
        <v>60</v>
      </c>
      <c r="G26" s="590" t="e">
        <f>'rateio lote 1 adm local e bdi'!K26</f>
        <v>#REF!</v>
      </c>
      <c r="H26" s="591" t="e">
        <f aca="true" t="shared" si="1" ref="H26:H29">F26*G26</f>
        <v>#REF!</v>
      </c>
    </row>
    <row r="27" spans="2:8" s="574" customFormat="1" ht="18.75" customHeight="1">
      <c r="B27" s="585" t="s">
        <v>66</v>
      </c>
      <c r="C27" s="586" t="s">
        <v>67</v>
      </c>
      <c r="D27" s="587" t="s">
        <v>68</v>
      </c>
      <c r="E27" s="592" t="s">
        <v>43</v>
      </c>
      <c r="F27" s="589">
        <f>'rateio lote 1 adm local e bdi'!E27</f>
        <v>18</v>
      </c>
      <c r="G27" s="590" t="e">
        <f>'rateio lote 1 adm local e bdi'!K27</f>
        <v>#REF!</v>
      </c>
      <c r="H27" s="591" t="e">
        <f t="shared" si="1"/>
        <v>#REF!</v>
      </c>
    </row>
    <row r="28" spans="2:8" s="574" customFormat="1" ht="18.75" customHeight="1">
      <c r="B28" s="585" t="s">
        <v>69</v>
      </c>
      <c r="C28" s="586" t="s">
        <v>70</v>
      </c>
      <c r="D28" s="587" t="s">
        <v>71</v>
      </c>
      <c r="E28" s="592" t="s">
        <v>43</v>
      </c>
      <c r="F28" s="589">
        <f>'rateio lote 1 adm local e bdi'!E28</f>
        <v>9</v>
      </c>
      <c r="G28" s="590" t="e">
        <f>'rateio lote 1 adm local e bdi'!K28</f>
        <v>#REF!</v>
      </c>
      <c r="H28" s="591" t="e">
        <f t="shared" si="1"/>
        <v>#REF!</v>
      </c>
    </row>
    <row r="29" spans="2:8" s="574" customFormat="1" ht="18.75" customHeight="1">
      <c r="B29" s="585" t="s">
        <v>72</v>
      </c>
      <c r="C29" s="586" t="s">
        <v>73</v>
      </c>
      <c r="D29" s="587" t="s">
        <v>74</v>
      </c>
      <c r="E29" s="588" t="s">
        <v>13</v>
      </c>
      <c r="F29" s="589">
        <f>'rateio lote 1 adm local e bdi'!E29</f>
        <v>24</v>
      </c>
      <c r="G29" s="590" t="e">
        <f>'rateio lote 1 adm local e bdi'!K29</f>
        <v>#REF!</v>
      </c>
      <c r="H29" s="591" t="e">
        <f t="shared" si="1"/>
        <v>#REF!</v>
      </c>
    </row>
    <row r="30" spans="2:8" s="574" customFormat="1" ht="18.75" customHeight="1">
      <c r="B30" s="594" t="s">
        <v>75</v>
      </c>
      <c r="C30" s="594"/>
      <c r="D30" s="594"/>
      <c r="E30" s="594"/>
      <c r="F30" s="594"/>
      <c r="G30" s="594"/>
      <c r="H30" s="595" t="e">
        <f>SUM(H26:H29)</f>
        <v>#REF!</v>
      </c>
    </row>
    <row r="31" spans="2:8" s="574" customFormat="1" ht="18.75" customHeight="1">
      <c r="B31" s="584" t="s">
        <v>76</v>
      </c>
      <c r="C31" s="584"/>
      <c r="D31" s="584"/>
      <c r="E31" s="584"/>
      <c r="F31" s="584"/>
      <c r="G31" s="584"/>
      <c r="H31" s="584"/>
    </row>
    <row r="32" spans="2:8" s="574" customFormat="1" ht="18.75" customHeight="1">
      <c r="B32" s="585" t="s">
        <v>77</v>
      </c>
      <c r="C32" s="586" t="s">
        <v>78</v>
      </c>
      <c r="D32" s="587" t="s">
        <v>79</v>
      </c>
      <c r="E32" s="588" t="s">
        <v>20</v>
      </c>
      <c r="F32" s="589">
        <f>'rateio lote 1 adm local e bdi'!E32</f>
        <v>90</v>
      </c>
      <c r="G32" s="590" t="e">
        <f>'rateio lote 1 adm local e bdi'!K32</f>
        <v>#REF!</v>
      </c>
      <c r="H32" s="591" t="e">
        <f aca="true" t="shared" si="2" ref="H32:H40">F32*G32</f>
        <v>#REF!</v>
      </c>
    </row>
    <row r="33" spans="2:8" s="574" customFormat="1" ht="18.75" customHeight="1">
      <c r="B33" s="585" t="s">
        <v>80</v>
      </c>
      <c r="C33" s="586" t="s">
        <v>81</v>
      </c>
      <c r="D33" s="587" t="s">
        <v>82</v>
      </c>
      <c r="E33" s="588" t="s">
        <v>20</v>
      </c>
      <c r="F33" s="589">
        <f>'rateio lote 1 adm local e bdi'!E33</f>
        <v>280</v>
      </c>
      <c r="G33" s="590" t="e">
        <f>'rateio lote 1 adm local e bdi'!K33</f>
        <v>#REF!</v>
      </c>
      <c r="H33" s="591" t="e">
        <f t="shared" si="2"/>
        <v>#REF!</v>
      </c>
    </row>
    <row r="34" spans="2:8" s="574" customFormat="1" ht="18.75" customHeight="1">
      <c r="B34" s="585" t="s">
        <v>83</v>
      </c>
      <c r="C34" s="586" t="s">
        <v>84</v>
      </c>
      <c r="D34" s="587" t="s">
        <v>85</v>
      </c>
      <c r="E34" s="588" t="s">
        <v>20</v>
      </c>
      <c r="F34" s="589">
        <f>'rateio lote 1 adm local e bdi'!E34</f>
        <v>480</v>
      </c>
      <c r="G34" s="590" t="e">
        <f>'rateio lote 1 adm local e bdi'!K34</f>
        <v>#REF!</v>
      </c>
      <c r="H34" s="591" t="e">
        <f t="shared" si="2"/>
        <v>#REF!</v>
      </c>
    </row>
    <row r="35" spans="2:8" s="574" customFormat="1" ht="22.5">
      <c r="B35" s="585" t="s">
        <v>86</v>
      </c>
      <c r="C35" s="586" t="s">
        <v>87</v>
      </c>
      <c r="D35" s="587" t="s">
        <v>88</v>
      </c>
      <c r="E35" s="588" t="s">
        <v>20</v>
      </c>
      <c r="F35" s="589">
        <f>'rateio lote 1 adm local e bdi'!E35</f>
        <v>480</v>
      </c>
      <c r="G35" s="590" t="e">
        <f>'rateio lote 1 adm local e bdi'!K35</f>
        <v>#REF!</v>
      </c>
      <c r="H35" s="591" t="e">
        <f t="shared" si="2"/>
        <v>#REF!</v>
      </c>
    </row>
    <row r="36" spans="2:8" s="574" customFormat="1" ht="22.5">
      <c r="B36" s="585" t="s">
        <v>89</v>
      </c>
      <c r="C36" s="586" t="s">
        <v>90</v>
      </c>
      <c r="D36" s="587" t="s">
        <v>91</v>
      </c>
      <c r="E36" s="588" t="s">
        <v>20</v>
      </c>
      <c r="F36" s="589">
        <f>'rateio lote 1 adm local e bdi'!E36</f>
        <v>300</v>
      </c>
      <c r="G36" s="590" t="e">
        <f>'rateio lote 1 adm local e bdi'!K36</f>
        <v>#REF!</v>
      </c>
      <c r="H36" s="591" t="e">
        <f t="shared" si="2"/>
        <v>#REF!</v>
      </c>
    </row>
    <row r="37" spans="2:8" s="574" customFormat="1" ht="22.5">
      <c r="B37" s="585" t="s">
        <v>92</v>
      </c>
      <c r="C37" s="586" t="s">
        <v>93</v>
      </c>
      <c r="D37" s="593" t="s">
        <v>94</v>
      </c>
      <c r="E37" s="592" t="s">
        <v>20</v>
      </c>
      <c r="F37" s="589">
        <f>'rateio lote 1 adm local e bdi'!E37</f>
        <v>950</v>
      </c>
      <c r="G37" s="590" t="e">
        <f>'rateio lote 1 adm local e bdi'!K37</f>
        <v>#REF!</v>
      </c>
      <c r="H37" s="591" t="e">
        <f t="shared" si="2"/>
        <v>#REF!</v>
      </c>
    </row>
    <row r="38" spans="2:8" s="574" customFormat="1" ht="18.75" customHeight="1">
      <c r="B38" s="585" t="s">
        <v>95</v>
      </c>
      <c r="C38" s="586" t="s">
        <v>96</v>
      </c>
      <c r="D38" s="593" t="s">
        <v>97</v>
      </c>
      <c r="E38" s="592" t="s">
        <v>20</v>
      </c>
      <c r="F38" s="589">
        <f>'rateio lote 1 adm local e bdi'!E38</f>
        <v>30</v>
      </c>
      <c r="G38" s="590" t="e">
        <f>'rateio lote 1 adm local e bdi'!K38</f>
        <v>#REF!</v>
      </c>
      <c r="H38" s="591" t="e">
        <f t="shared" si="2"/>
        <v>#REF!</v>
      </c>
    </row>
    <row r="39" spans="2:8" s="574" customFormat="1" ht="18.75" customHeight="1">
      <c r="B39" s="585" t="s">
        <v>98</v>
      </c>
      <c r="C39" s="586" t="s">
        <v>99</v>
      </c>
      <c r="D39" s="593" t="s">
        <v>100</v>
      </c>
      <c r="E39" s="592" t="s">
        <v>20</v>
      </c>
      <c r="F39" s="589">
        <f>'rateio lote 1 adm local e bdi'!E39</f>
        <v>60</v>
      </c>
      <c r="G39" s="590" t="e">
        <f>'rateio lote 1 adm local e bdi'!K39</f>
        <v>#REF!</v>
      </c>
      <c r="H39" s="591" t="e">
        <f t="shared" si="2"/>
        <v>#REF!</v>
      </c>
    </row>
    <row r="40" spans="2:8" s="574" customFormat="1" ht="33.75">
      <c r="B40" s="585" t="s">
        <v>101</v>
      </c>
      <c r="C40" s="586" t="s">
        <v>102</v>
      </c>
      <c r="D40" s="593" t="s">
        <v>103</v>
      </c>
      <c r="E40" s="592" t="s">
        <v>20</v>
      </c>
      <c r="F40" s="589">
        <f>'rateio lote 1 adm local e bdi'!E40</f>
        <v>90</v>
      </c>
      <c r="G40" s="590" t="e">
        <f>'rateio lote 1 adm local e bdi'!K40</f>
        <v>#REF!</v>
      </c>
      <c r="H40" s="591" t="e">
        <f t="shared" si="2"/>
        <v>#REF!</v>
      </c>
    </row>
    <row r="41" spans="2:8" s="574" customFormat="1" ht="18.75" customHeight="1">
      <c r="B41" s="594" t="s">
        <v>104</v>
      </c>
      <c r="C41" s="594"/>
      <c r="D41" s="594"/>
      <c r="E41" s="594"/>
      <c r="F41" s="594"/>
      <c r="G41" s="594"/>
      <c r="H41" s="595" t="e">
        <f>SUM(H32:H40)</f>
        <v>#REF!</v>
      </c>
    </row>
    <row r="42" spans="2:8" s="574" customFormat="1" ht="18.75" customHeight="1">
      <c r="B42" s="584" t="s">
        <v>105</v>
      </c>
      <c r="C42" s="584"/>
      <c r="D42" s="584"/>
      <c r="E42" s="584"/>
      <c r="F42" s="584"/>
      <c r="G42" s="584"/>
      <c r="H42" s="584"/>
    </row>
    <row r="43" spans="2:8" s="574" customFormat="1" ht="18.75" customHeight="1">
      <c r="B43" s="585" t="s">
        <v>106</v>
      </c>
      <c r="C43" s="586" t="s">
        <v>107</v>
      </c>
      <c r="D43" s="587" t="s">
        <v>108</v>
      </c>
      <c r="E43" s="588" t="s">
        <v>20</v>
      </c>
      <c r="F43" s="589">
        <f>'rateio lote 1 adm local e bdi'!E43</f>
        <v>90</v>
      </c>
      <c r="G43" s="590" t="e">
        <f>'rateio lote 1 adm local e bdi'!K43</f>
        <v>#REF!</v>
      </c>
      <c r="H43" s="591" t="e">
        <f aca="true" t="shared" si="3" ref="H43:H48">F43*G43</f>
        <v>#REF!</v>
      </c>
    </row>
    <row r="44" spans="2:8" s="574" customFormat="1" ht="22.5">
      <c r="B44" s="585" t="s">
        <v>109</v>
      </c>
      <c r="C44" s="586" t="s">
        <v>110</v>
      </c>
      <c r="D44" s="587" t="s">
        <v>111</v>
      </c>
      <c r="E44" s="588" t="s">
        <v>20</v>
      </c>
      <c r="F44" s="589">
        <f>'rateio lote 1 adm local e bdi'!E44</f>
        <v>90</v>
      </c>
      <c r="G44" s="590" t="e">
        <f>'rateio lote 1 adm local e bdi'!K44</f>
        <v>#REF!</v>
      </c>
      <c r="H44" s="591" t="e">
        <f t="shared" si="3"/>
        <v>#REF!</v>
      </c>
    </row>
    <row r="45" spans="2:8" s="574" customFormat="1" ht="22.5">
      <c r="B45" s="585" t="s">
        <v>112</v>
      </c>
      <c r="C45" s="586" t="s">
        <v>113</v>
      </c>
      <c r="D45" s="587" t="s">
        <v>114</v>
      </c>
      <c r="E45" s="588" t="s">
        <v>13</v>
      </c>
      <c r="F45" s="589">
        <f>'rateio lote 1 adm local e bdi'!E45</f>
        <v>90</v>
      </c>
      <c r="G45" s="590" t="e">
        <f>'rateio lote 1 adm local e bdi'!K45</f>
        <v>#REF!</v>
      </c>
      <c r="H45" s="591" t="e">
        <f t="shared" si="3"/>
        <v>#REF!</v>
      </c>
    </row>
    <row r="46" spans="2:8" s="574" customFormat="1" ht="22.5">
      <c r="B46" s="585" t="s">
        <v>115</v>
      </c>
      <c r="C46" s="586" t="s">
        <v>116</v>
      </c>
      <c r="D46" s="587" t="s">
        <v>117</v>
      </c>
      <c r="E46" s="588" t="s">
        <v>13</v>
      </c>
      <c r="F46" s="589">
        <f>'rateio lote 1 adm local e bdi'!E46</f>
        <v>90</v>
      </c>
      <c r="G46" s="590" t="e">
        <f>'rateio lote 1 adm local e bdi'!K46</f>
        <v>#REF!</v>
      </c>
      <c r="H46" s="591" t="e">
        <f t="shared" si="3"/>
        <v>#REF!</v>
      </c>
    </row>
    <row r="47" spans="2:8" s="574" customFormat="1" ht="18.75" customHeight="1">
      <c r="B47" s="585" t="s">
        <v>118</v>
      </c>
      <c r="C47" s="586" t="s">
        <v>119</v>
      </c>
      <c r="D47" s="587" t="s">
        <v>120</v>
      </c>
      <c r="E47" s="588" t="s">
        <v>13</v>
      </c>
      <c r="F47" s="589">
        <f>'rateio lote 1 adm local e bdi'!E47</f>
        <v>180</v>
      </c>
      <c r="G47" s="590" t="e">
        <f>'rateio lote 1 adm local e bdi'!K47</f>
        <v>#REF!</v>
      </c>
      <c r="H47" s="591" t="e">
        <f t="shared" si="3"/>
        <v>#REF!</v>
      </c>
    </row>
    <row r="48" spans="2:8" s="574" customFormat="1" ht="18.75" customHeight="1">
      <c r="B48" s="585" t="s">
        <v>121</v>
      </c>
      <c r="C48" s="586" t="s">
        <v>122</v>
      </c>
      <c r="D48" s="587" t="s">
        <v>123</v>
      </c>
      <c r="E48" s="588" t="s">
        <v>13</v>
      </c>
      <c r="F48" s="589">
        <f>'rateio lote 1 adm local e bdi'!E48</f>
        <v>180</v>
      </c>
      <c r="G48" s="590" t="e">
        <f>'rateio lote 1 adm local e bdi'!K48</f>
        <v>#REF!</v>
      </c>
      <c r="H48" s="591" t="e">
        <f t="shared" si="3"/>
        <v>#REF!</v>
      </c>
    </row>
    <row r="49" spans="2:8" s="574" customFormat="1" ht="18.75" customHeight="1">
      <c r="B49" s="594" t="s">
        <v>124</v>
      </c>
      <c r="C49" s="594"/>
      <c r="D49" s="594"/>
      <c r="E49" s="594"/>
      <c r="F49" s="594"/>
      <c r="G49" s="594"/>
      <c r="H49" s="595" t="e">
        <f>SUM(H43:H48)</f>
        <v>#REF!</v>
      </c>
    </row>
    <row r="50" spans="2:8" s="574" customFormat="1" ht="18.75" customHeight="1">
      <c r="B50" s="584" t="s">
        <v>125</v>
      </c>
      <c r="C50" s="584"/>
      <c r="D50" s="584"/>
      <c r="E50" s="584"/>
      <c r="F50" s="584"/>
      <c r="G50" s="584"/>
      <c r="H50" s="584"/>
    </row>
    <row r="51" spans="2:8" s="574" customFormat="1" ht="22.5">
      <c r="B51" s="585" t="s">
        <v>126</v>
      </c>
      <c r="C51" s="586" t="s">
        <v>127</v>
      </c>
      <c r="D51" s="587" t="s">
        <v>128</v>
      </c>
      <c r="E51" s="588" t="s">
        <v>13</v>
      </c>
      <c r="F51" s="589">
        <f>'rateio lote 1 adm local e bdi'!E51</f>
        <v>320</v>
      </c>
      <c r="G51" s="590" t="e">
        <f>'rateio lote 1 adm local e bdi'!K51</f>
        <v>#REF!</v>
      </c>
      <c r="H51" s="591" t="e">
        <f aca="true" t="shared" si="4" ref="H51:H59">F51*G51</f>
        <v>#REF!</v>
      </c>
    </row>
    <row r="52" spans="2:8" s="574" customFormat="1" ht="33.75">
      <c r="B52" s="585" t="s">
        <v>129</v>
      </c>
      <c r="C52" s="586" t="s">
        <v>130</v>
      </c>
      <c r="D52" s="587" t="s">
        <v>131</v>
      </c>
      <c r="E52" s="588" t="s">
        <v>13</v>
      </c>
      <c r="F52" s="589">
        <f>'rateio lote 1 adm local e bdi'!E52</f>
        <v>120</v>
      </c>
      <c r="G52" s="590" t="e">
        <f>'rateio lote 1 adm local e bdi'!K52</f>
        <v>#REF!</v>
      </c>
      <c r="H52" s="591" t="e">
        <f t="shared" si="4"/>
        <v>#REF!</v>
      </c>
    </row>
    <row r="53" spans="2:8" s="574" customFormat="1" ht="22.5">
      <c r="B53" s="585" t="s">
        <v>132</v>
      </c>
      <c r="C53" s="586" t="s">
        <v>133</v>
      </c>
      <c r="D53" s="587" t="s">
        <v>134</v>
      </c>
      <c r="E53" s="588" t="s">
        <v>36</v>
      </c>
      <c r="F53" s="589">
        <f>'rateio lote 1 adm local e bdi'!E53</f>
        <v>320</v>
      </c>
      <c r="G53" s="590" t="e">
        <f>'rateio lote 1 adm local e bdi'!K53</f>
        <v>#REF!</v>
      </c>
      <c r="H53" s="591" t="e">
        <f t="shared" si="4"/>
        <v>#REF!</v>
      </c>
    </row>
    <row r="54" spans="2:8" s="574" customFormat="1" ht="33.75">
      <c r="B54" s="585" t="s">
        <v>135</v>
      </c>
      <c r="C54" s="586" t="s">
        <v>136</v>
      </c>
      <c r="D54" s="587" t="s">
        <v>137</v>
      </c>
      <c r="E54" s="588" t="s">
        <v>36</v>
      </c>
      <c r="F54" s="589">
        <f>'rateio lote 1 adm local e bdi'!E54</f>
        <v>320</v>
      </c>
      <c r="G54" s="590" t="e">
        <f>'rateio lote 1 adm local e bdi'!K54</f>
        <v>#REF!</v>
      </c>
      <c r="H54" s="591" t="e">
        <f t="shared" si="4"/>
        <v>#REF!</v>
      </c>
    </row>
    <row r="55" spans="2:8" s="574" customFormat="1" ht="22.5">
      <c r="B55" s="585" t="s">
        <v>138</v>
      </c>
      <c r="C55" s="586" t="s">
        <v>139</v>
      </c>
      <c r="D55" s="593" t="s">
        <v>140</v>
      </c>
      <c r="E55" s="592" t="s">
        <v>20</v>
      </c>
      <c r="F55" s="589">
        <f>'rateio lote 1 adm local e bdi'!E55</f>
        <v>70</v>
      </c>
      <c r="G55" s="590" t="e">
        <f>'rateio lote 1 adm local e bdi'!K55</f>
        <v>#REF!</v>
      </c>
      <c r="H55" s="591" t="e">
        <f t="shared" si="4"/>
        <v>#REF!</v>
      </c>
    </row>
    <row r="56" spans="2:8" s="574" customFormat="1" ht="22.5">
      <c r="B56" s="585" t="s">
        <v>141</v>
      </c>
      <c r="C56" s="586" t="s">
        <v>142</v>
      </c>
      <c r="D56" s="593" t="s">
        <v>143</v>
      </c>
      <c r="E56" s="592" t="s">
        <v>20</v>
      </c>
      <c r="F56" s="589">
        <f>'rateio lote 1 adm local e bdi'!E56</f>
        <v>70</v>
      </c>
      <c r="G56" s="590" t="e">
        <f>'rateio lote 1 adm local e bdi'!K56</f>
        <v>#REF!</v>
      </c>
      <c r="H56" s="591" t="e">
        <f t="shared" si="4"/>
        <v>#REF!</v>
      </c>
    </row>
    <row r="57" spans="2:8" s="574" customFormat="1" ht="18.75" customHeight="1">
      <c r="B57" s="585" t="s">
        <v>144</v>
      </c>
      <c r="C57" s="586" t="s">
        <v>145</v>
      </c>
      <c r="D57" s="593" t="s">
        <v>146</v>
      </c>
      <c r="E57" s="592" t="s">
        <v>20</v>
      </c>
      <c r="F57" s="589">
        <f>'rateio lote 1 adm local e bdi'!E57</f>
        <v>70</v>
      </c>
      <c r="G57" s="590" t="e">
        <f>'rateio lote 1 adm local e bdi'!K57</f>
        <v>#REF!</v>
      </c>
      <c r="H57" s="591" t="e">
        <f t="shared" si="4"/>
        <v>#REF!</v>
      </c>
    </row>
    <row r="58" spans="2:8" s="574" customFormat="1" ht="18.75" customHeight="1">
      <c r="B58" s="585" t="s">
        <v>147</v>
      </c>
      <c r="C58" s="586" t="s">
        <v>148</v>
      </c>
      <c r="D58" s="593" t="s">
        <v>149</v>
      </c>
      <c r="E58" s="592" t="s">
        <v>13</v>
      </c>
      <c r="F58" s="589">
        <f>'rateio lote 1 adm local e bdi'!E58</f>
        <v>1400</v>
      </c>
      <c r="G58" s="590" t="e">
        <f>'rateio lote 1 adm local e bdi'!K58</f>
        <v>#REF!</v>
      </c>
      <c r="H58" s="591" t="e">
        <f t="shared" si="4"/>
        <v>#REF!</v>
      </c>
    </row>
    <row r="59" spans="2:8" s="574" customFormat="1" ht="18.75" customHeight="1">
      <c r="B59" s="585" t="s">
        <v>150</v>
      </c>
      <c r="C59" s="586" t="s">
        <v>151</v>
      </c>
      <c r="D59" s="593" t="s">
        <v>152</v>
      </c>
      <c r="E59" s="592" t="s">
        <v>20</v>
      </c>
      <c r="F59" s="588">
        <f>'rateio lote 1 adm local e bdi'!E59</f>
        <v>70</v>
      </c>
      <c r="G59" s="590" t="e">
        <f>'rateio lote 1 adm local e bdi'!K59</f>
        <v>#REF!</v>
      </c>
      <c r="H59" s="591" t="e">
        <f t="shared" si="4"/>
        <v>#REF!</v>
      </c>
    </row>
    <row r="60" spans="2:8" s="574" customFormat="1" ht="18.75" customHeight="1">
      <c r="B60" s="594" t="s">
        <v>153</v>
      </c>
      <c r="C60" s="594"/>
      <c r="D60" s="594"/>
      <c r="E60" s="594"/>
      <c r="F60" s="594"/>
      <c r="G60" s="594"/>
      <c r="H60" s="595" t="e">
        <f>SUM(H51:H59)</f>
        <v>#REF!</v>
      </c>
    </row>
    <row r="61" spans="2:8" s="574" customFormat="1" ht="18.75" customHeight="1">
      <c r="B61" s="584" t="s">
        <v>154</v>
      </c>
      <c r="C61" s="584"/>
      <c r="D61" s="584"/>
      <c r="E61" s="584"/>
      <c r="F61" s="584"/>
      <c r="G61" s="584"/>
      <c r="H61" s="584"/>
    </row>
    <row r="62" spans="2:8" s="574" customFormat="1" ht="18.75" customHeight="1">
      <c r="B62" s="585" t="s">
        <v>155</v>
      </c>
      <c r="C62" s="586" t="s">
        <v>156</v>
      </c>
      <c r="D62" s="587" t="s">
        <v>157</v>
      </c>
      <c r="E62" s="592" t="s">
        <v>43</v>
      </c>
      <c r="F62" s="588">
        <f>'rateio lote 1 adm local e bdi'!E62</f>
        <v>60</v>
      </c>
      <c r="G62" s="590" t="e">
        <f>'rateio lote 1 adm local e bdi'!K62</f>
        <v>#REF!</v>
      </c>
      <c r="H62" s="591" t="e">
        <f aca="true" t="shared" si="5" ref="H62:H85">F62*G62</f>
        <v>#REF!</v>
      </c>
    </row>
    <row r="63" spans="2:8" s="574" customFormat="1" ht="18.75" customHeight="1">
      <c r="B63" s="585" t="s">
        <v>158</v>
      </c>
      <c r="C63" s="586" t="s">
        <v>159</v>
      </c>
      <c r="D63" s="587" t="s">
        <v>160</v>
      </c>
      <c r="E63" s="592" t="s">
        <v>43</v>
      </c>
      <c r="F63" s="588">
        <f>'rateio lote 1 adm local e bdi'!E63</f>
        <v>30</v>
      </c>
      <c r="G63" s="590" t="e">
        <f>'rateio lote 1 adm local e bdi'!K63</f>
        <v>#REF!</v>
      </c>
      <c r="H63" s="591" t="e">
        <f t="shared" si="5"/>
        <v>#REF!</v>
      </c>
    </row>
    <row r="64" spans="2:8" s="574" customFormat="1" ht="22.5">
      <c r="B64" s="585" t="s">
        <v>161</v>
      </c>
      <c r="C64" s="586" t="s">
        <v>162</v>
      </c>
      <c r="D64" s="587" t="s">
        <v>163</v>
      </c>
      <c r="E64" s="592" t="s">
        <v>43</v>
      </c>
      <c r="F64" s="588">
        <f>'rateio lote 1 adm local e bdi'!E64</f>
        <v>30</v>
      </c>
      <c r="G64" s="590" t="e">
        <f>'rateio lote 1 adm local e bdi'!K64</f>
        <v>#REF!</v>
      </c>
      <c r="H64" s="591" t="e">
        <f t="shared" si="5"/>
        <v>#REF!</v>
      </c>
    </row>
    <row r="65" spans="2:8" s="574" customFormat="1" ht="33.75">
      <c r="B65" s="585" t="s">
        <v>164</v>
      </c>
      <c r="C65" s="586" t="s">
        <v>165</v>
      </c>
      <c r="D65" s="587" t="s">
        <v>166</v>
      </c>
      <c r="E65" s="592" t="s">
        <v>43</v>
      </c>
      <c r="F65" s="588">
        <f>'rateio lote 1 adm local e bdi'!E65</f>
        <v>6</v>
      </c>
      <c r="G65" s="590" t="e">
        <f>'rateio lote 1 adm local e bdi'!K65</f>
        <v>#REF!</v>
      </c>
      <c r="H65" s="591" t="e">
        <f t="shared" si="5"/>
        <v>#REF!</v>
      </c>
    </row>
    <row r="66" spans="2:8" s="574" customFormat="1" ht="33.75">
      <c r="B66" s="585" t="s">
        <v>167</v>
      </c>
      <c r="C66" s="586" t="s">
        <v>168</v>
      </c>
      <c r="D66" s="587" t="s">
        <v>169</v>
      </c>
      <c r="E66" s="592" t="s">
        <v>43</v>
      </c>
      <c r="F66" s="588">
        <f>'rateio lote 1 adm local e bdi'!E66</f>
        <v>6</v>
      </c>
      <c r="G66" s="590" t="e">
        <f>'rateio lote 1 adm local e bdi'!K66</f>
        <v>#REF!</v>
      </c>
      <c r="H66" s="591" t="e">
        <f t="shared" si="5"/>
        <v>#REF!</v>
      </c>
    </row>
    <row r="67" spans="2:8" s="574" customFormat="1" ht="33.75">
      <c r="B67" s="585" t="s">
        <v>170</v>
      </c>
      <c r="C67" s="586" t="s">
        <v>171</v>
      </c>
      <c r="D67" s="587" t="s">
        <v>172</v>
      </c>
      <c r="E67" s="592" t="s">
        <v>43</v>
      </c>
      <c r="F67" s="588">
        <f>'rateio lote 1 adm local e bdi'!E67</f>
        <v>6</v>
      </c>
      <c r="G67" s="590" t="e">
        <f>'rateio lote 1 adm local e bdi'!K67</f>
        <v>#REF!</v>
      </c>
      <c r="H67" s="591" t="e">
        <f t="shared" si="5"/>
        <v>#REF!</v>
      </c>
    </row>
    <row r="68" spans="2:8" s="574" customFormat="1" ht="18" customHeight="1">
      <c r="B68" s="585" t="s">
        <v>173</v>
      </c>
      <c r="C68" s="586" t="s">
        <v>174</v>
      </c>
      <c r="D68" s="587" t="s">
        <v>175</v>
      </c>
      <c r="E68" s="588" t="s">
        <v>36</v>
      </c>
      <c r="F68" s="588">
        <f>'rateio lote 1 adm local e bdi'!E68</f>
        <v>6</v>
      </c>
      <c r="G68" s="590" t="e">
        <f>'rateio lote 1 adm local e bdi'!K68</f>
        <v>#REF!</v>
      </c>
      <c r="H68" s="591" t="e">
        <f t="shared" si="5"/>
        <v>#REF!</v>
      </c>
    </row>
    <row r="69" spans="2:8" s="574" customFormat="1" ht="33.75">
      <c r="B69" s="585" t="s">
        <v>176</v>
      </c>
      <c r="C69" s="586" t="s">
        <v>177</v>
      </c>
      <c r="D69" s="587" t="s">
        <v>178</v>
      </c>
      <c r="E69" s="592" t="s">
        <v>43</v>
      </c>
      <c r="F69" s="588">
        <f>'rateio lote 1 adm local e bdi'!E69</f>
        <v>6</v>
      </c>
      <c r="G69" s="590" t="e">
        <f>'rateio lote 1 adm local e bdi'!K69</f>
        <v>#REF!</v>
      </c>
      <c r="H69" s="591" t="e">
        <f t="shared" si="5"/>
        <v>#REF!</v>
      </c>
    </row>
    <row r="70" spans="2:8" s="574" customFormat="1" ht="33.75">
      <c r="B70" s="585" t="s">
        <v>179</v>
      </c>
      <c r="C70" s="586" t="s">
        <v>180</v>
      </c>
      <c r="D70" s="587" t="s">
        <v>181</v>
      </c>
      <c r="E70" s="592" t="s">
        <v>43</v>
      </c>
      <c r="F70" s="588">
        <f>'rateio lote 1 adm local e bdi'!E70</f>
        <v>3</v>
      </c>
      <c r="G70" s="590" t="e">
        <f>'rateio lote 1 adm local e bdi'!K70</f>
        <v>#REF!</v>
      </c>
      <c r="H70" s="591" t="e">
        <f t="shared" si="5"/>
        <v>#REF!</v>
      </c>
    </row>
    <row r="71" spans="2:8" s="574" customFormat="1" ht="33.75">
      <c r="B71" s="585" t="s">
        <v>182</v>
      </c>
      <c r="C71" s="586" t="s">
        <v>183</v>
      </c>
      <c r="D71" s="587" t="s">
        <v>184</v>
      </c>
      <c r="E71" s="588" t="s">
        <v>36</v>
      </c>
      <c r="F71" s="588">
        <f>'rateio lote 1 adm local e bdi'!E71</f>
        <v>380</v>
      </c>
      <c r="G71" s="590" t="e">
        <f>'rateio lote 1 adm local e bdi'!K71</f>
        <v>#REF!</v>
      </c>
      <c r="H71" s="591" t="e">
        <f t="shared" si="5"/>
        <v>#REF!</v>
      </c>
    </row>
    <row r="72" spans="2:8" s="574" customFormat="1" ht="33.75">
      <c r="B72" s="585" t="s">
        <v>185</v>
      </c>
      <c r="C72" s="586" t="s">
        <v>186</v>
      </c>
      <c r="D72" s="587" t="s">
        <v>187</v>
      </c>
      <c r="E72" s="588" t="s">
        <v>36</v>
      </c>
      <c r="F72" s="588">
        <f>'rateio lote 1 adm local e bdi'!E72</f>
        <v>480</v>
      </c>
      <c r="G72" s="590" t="e">
        <f>'rateio lote 1 adm local e bdi'!K72</f>
        <v>#REF!</v>
      </c>
      <c r="H72" s="591" t="e">
        <f t="shared" si="5"/>
        <v>#REF!</v>
      </c>
    </row>
    <row r="73" spans="2:8" s="574" customFormat="1" ht="33.75">
      <c r="B73" s="585" t="s">
        <v>188</v>
      </c>
      <c r="C73" s="586" t="s">
        <v>189</v>
      </c>
      <c r="D73" s="587" t="s">
        <v>190</v>
      </c>
      <c r="E73" s="588" t="s">
        <v>36</v>
      </c>
      <c r="F73" s="588">
        <f>'rateio lote 1 adm local e bdi'!E73</f>
        <v>200</v>
      </c>
      <c r="G73" s="590" t="e">
        <f>'rateio lote 1 adm local e bdi'!K73</f>
        <v>#REF!</v>
      </c>
      <c r="H73" s="591" t="e">
        <f t="shared" si="5"/>
        <v>#REF!</v>
      </c>
    </row>
    <row r="74" spans="2:8" s="574" customFormat="1" ht="33.75">
      <c r="B74" s="585" t="s">
        <v>191</v>
      </c>
      <c r="C74" s="586" t="s">
        <v>192</v>
      </c>
      <c r="D74" s="587" t="s">
        <v>193</v>
      </c>
      <c r="E74" s="588" t="s">
        <v>36</v>
      </c>
      <c r="F74" s="588">
        <f>'rateio lote 1 adm local e bdi'!E74</f>
        <v>90</v>
      </c>
      <c r="G74" s="590" t="e">
        <f>'rateio lote 1 adm local e bdi'!K74</f>
        <v>#REF!</v>
      </c>
      <c r="H74" s="591" t="e">
        <f t="shared" si="5"/>
        <v>#REF!</v>
      </c>
    </row>
    <row r="75" spans="2:8" s="574" customFormat="1" ht="33.75">
      <c r="B75" s="585" t="s">
        <v>194</v>
      </c>
      <c r="C75" s="586" t="s">
        <v>195</v>
      </c>
      <c r="D75" s="587" t="s">
        <v>196</v>
      </c>
      <c r="E75" s="588" t="s">
        <v>36</v>
      </c>
      <c r="F75" s="588">
        <f>'rateio lote 1 adm local e bdi'!E75</f>
        <v>50</v>
      </c>
      <c r="G75" s="590" t="e">
        <f>'rateio lote 1 adm local e bdi'!K75</f>
        <v>#REF!</v>
      </c>
      <c r="H75" s="591" t="e">
        <f t="shared" si="5"/>
        <v>#REF!</v>
      </c>
    </row>
    <row r="76" spans="2:8" s="574" customFormat="1" ht="33.75">
      <c r="B76" s="585" t="s">
        <v>197</v>
      </c>
      <c r="C76" s="586" t="s">
        <v>198</v>
      </c>
      <c r="D76" s="587" t="s">
        <v>199</v>
      </c>
      <c r="E76" s="588" t="s">
        <v>36</v>
      </c>
      <c r="F76" s="588">
        <f>'rateio lote 1 adm local e bdi'!E76</f>
        <v>75</v>
      </c>
      <c r="G76" s="590" t="e">
        <f>'rateio lote 1 adm local e bdi'!K76</f>
        <v>#REF!</v>
      </c>
      <c r="H76" s="591" t="e">
        <f t="shared" si="5"/>
        <v>#REF!</v>
      </c>
    </row>
    <row r="77" spans="2:8" s="574" customFormat="1" ht="22.5">
      <c r="B77" s="585" t="s">
        <v>200</v>
      </c>
      <c r="C77" s="586" t="s">
        <v>201</v>
      </c>
      <c r="D77" s="587" t="s">
        <v>202</v>
      </c>
      <c r="E77" s="592" t="s">
        <v>43</v>
      </c>
      <c r="F77" s="588">
        <f>'rateio lote 1 adm local e bdi'!E77</f>
        <v>75</v>
      </c>
      <c r="G77" s="590" t="e">
        <f>'rateio lote 1 adm local e bdi'!K77</f>
        <v>#REF!</v>
      </c>
      <c r="H77" s="591" t="e">
        <f t="shared" si="5"/>
        <v>#REF!</v>
      </c>
    </row>
    <row r="78" spans="2:8" s="574" customFormat="1" ht="22.5">
      <c r="B78" s="585" t="s">
        <v>203</v>
      </c>
      <c r="C78" s="586" t="s">
        <v>204</v>
      </c>
      <c r="D78" s="587" t="s">
        <v>205</v>
      </c>
      <c r="E78" s="592" t="s">
        <v>43</v>
      </c>
      <c r="F78" s="588">
        <f>'rateio lote 1 adm local e bdi'!E78</f>
        <v>75</v>
      </c>
      <c r="G78" s="590" t="e">
        <f>'rateio lote 1 adm local e bdi'!K78</f>
        <v>#REF!</v>
      </c>
      <c r="H78" s="591" t="e">
        <f t="shared" si="5"/>
        <v>#REF!</v>
      </c>
    </row>
    <row r="79" spans="2:8" s="574" customFormat="1" ht="22.5">
      <c r="B79" s="585" t="s">
        <v>206</v>
      </c>
      <c r="C79" s="586" t="s">
        <v>207</v>
      </c>
      <c r="D79" s="587" t="s">
        <v>208</v>
      </c>
      <c r="E79" s="592" t="s">
        <v>43</v>
      </c>
      <c r="F79" s="588">
        <f>'rateio lote 1 adm local e bdi'!E79</f>
        <v>35</v>
      </c>
      <c r="G79" s="590" t="e">
        <f>'rateio lote 1 adm local e bdi'!K79</f>
        <v>#REF!</v>
      </c>
      <c r="H79" s="591" t="e">
        <f t="shared" si="5"/>
        <v>#REF!</v>
      </c>
    </row>
    <row r="80" spans="2:8" s="574" customFormat="1" ht="33.75">
      <c r="B80" s="585" t="s">
        <v>209</v>
      </c>
      <c r="C80" s="586" t="s">
        <v>210</v>
      </c>
      <c r="D80" s="593" t="s">
        <v>211</v>
      </c>
      <c r="E80" s="592" t="s">
        <v>43</v>
      </c>
      <c r="F80" s="588">
        <f>'rateio lote 1 adm local e bdi'!E80</f>
        <v>300</v>
      </c>
      <c r="G80" s="590" t="e">
        <f>'rateio lote 1 adm local e bdi'!K80</f>
        <v>#REF!</v>
      </c>
      <c r="H80" s="591" t="e">
        <f t="shared" si="5"/>
        <v>#REF!</v>
      </c>
    </row>
    <row r="81" spans="2:8" s="574" customFormat="1" ht="33.75">
      <c r="B81" s="585" t="s">
        <v>212</v>
      </c>
      <c r="C81" s="586" t="s">
        <v>213</v>
      </c>
      <c r="D81" s="593" t="s">
        <v>214</v>
      </c>
      <c r="E81" s="592" t="s">
        <v>43</v>
      </c>
      <c r="F81" s="588">
        <f>'rateio lote 1 adm local e bdi'!E81</f>
        <v>360</v>
      </c>
      <c r="G81" s="590" t="e">
        <f>'rateio lote 1 adm local e bdi'!K81</f>
        <v>#REF!</v>
      </c>
      <c r="H81" s="591" t="e">
        <f t="shared" si="5"/>
        <v>#REF!</v>
      </c>
    </row>
    <row r="82" spans="2:8" s="574" customFormat="1" ht="33.75">
      <c r="B82" s="585" t="s">
        <v>215</v>
      </c>
      <c r="C82" s="586" t="s">
        <v>216</v>
      </c>
      <c r="D82" s="593" t="s">
        <v>217</v>
      </c>
      <c r="E82" s="592" t="s">
        <v>43</v>
      </c>
      <c r="F82" s="588">
        <f>'rateio lote 1 adm local e bdi'!E82</f>
        <v>45</v>
      </c>
      <c r="G82" s="590" t="e">
        <f>'rateio lote 1 adm local e bdi'!K82</f>
        <v>#REF!</v>
      </c>
      <c r="H82" s="591" t="e">
        <f t="shared" si="5"/>
        <v>#REF!</v>
      </c>
    </row>
    <row r="83" spans="2:8" s="574" customFormat="1" ht="22.5">
      <c r="B83" s="585" t="s">
        <v>218</v>
      </c>
      <c r="C83" s="586" t="s">
        <v>219</v>
      </c>
      <c r="D83" s="593" t="s">
        <v>220</v>
      </c>
      <c r="E83" s="592" t="s">
        <v>36</v>
      </c>
      <c r="F83" s="588">
        <f>'rateio lote 1 adm local e bdi'!E83</f>
        <v>120</v>
      </c>
      <c r="G83" s="590" t="e">
        <f>'rateio lote 1 adm local e bdi'!K83</f>
        <v>#REF!</v>
      </c>
      <c r="H83" s="591" t="e">
        <f t="shared" si="5"/>
        <v>#REF!</v>
      </c>
    </row>
    <row r="84" spans="2:8" s="574" customFormat="1" ht="18.75" customHeight="1">
      <c r="B84" s="585" t="s">
        <v>221</v>
      </c>
      <c r="C84" s="586"/>
      <c r="D84" s="593" t="s">
        <v>222</v>
      </c>
      <c r="E84" s="592" t="s">
        <v>36</v>
      </c>
      <c r="F84" s="588">
        <f>'rateio lote 1 adm local e bdi'!E84</f>
        <v>120</v>
      </c>
      <c r="G84" s="590" t="e">
        <f>'rateio lote 1 adm local e bdi'!K84</f>
        <v>#REF!</v>
      </c>
      <c r="H84" s="591" t="e">
        <f t="shared" si="5"/>
        <v>#REF!</v>
      </c>
    </row>
    <row r="85" spans="2:8" s="574" customFormat="1" ht="18.75" customHeight="1">
      <c r="B85" s="585" t="s">
        <v>223</v>
      </c>
      <c r="C85" s="586"/>
      <c r="D85" s="593" t="s">
        <v>224</v>
      </c>
      <c r="E85" s="592" t="s">
        <v>36</v>
      </c>
      <c r="F85" s="588">
        <f>'rateio lote 1 adm local e bdi'!E85</f>
        <v>60</v>
      </c>
      <c r="G85" s="590" t="e">
        <f>'rateio lote 1 adm local e bdi'!K85</f>
        <v>#REF!</v>
      </c>
      <c r="H85" s="591" t="e">
        <f t="shared" si="5"/>
        <v>#REF!</v>
      </c>
    </row>
    <row r="86" spans="2:8" s="574" customFormat="1" ht="18.75" customHeight="1">
      <c r="B86" s="594" t="s">
        <v>225</v>
      </c>
      <c r="C86" s="594"/>
      <c r="D86" s="594"/>
      <c r="E86" s="594"/>
      <c r="F86" s="594"/>
      <c r="G86" s="594"/>
      <c r="H86" s="596" t="e">
        <f>SUM(H62:H85)</f>
        <v>#REF!</v>
      </c>
    </row>
    <row r="87" spans="2:8" s="574" customFormat="1" ht="18.75" customHeight="1">
      <c r="B87" s="584" t="s">
        <v>226</v>
      </c>
      <c r="C87" s="584"/>
      <c r="D87" s="584"/>
      <c r="E87" s="584"/>
      <c r="F87" s="584"/>
      <c r="G87" s="584"/>
      <c r="H87" s="584"/>
    </row>
    <row r="88" spans="2:8" s="574" customFormat="1" ht="24">
      <c r="B88" s="585" t="s">
        <v>227</v>
      </c>
      <c r="C88" s="586" t="s">
        <v>228</v>
      </c>
      <c r="D88" s="593" t="s">
        <v>229</v>
      </c>
      <c r="E88" s="592" t="s">
        <v>230</v>
      </c>
      <c r="F88" s="588">
        <f>'rateio lote 1 adm local e bdi'!E88</f>
        <v>800</v>
      </c>
      <c r="G88" s="590" t="e">
        <f>'rateio lote 1 adm local e bdi'!K88</f>
        <v>#REF!</v>
      </c>
      <c r="H88" s="591" t="e">
        <f aca="true" t="shared" si="6" ref="H88:H90">F88*G88</f>
        <v>#REF!</v>
      </c>
    </row>
    <row r="89" spans="2:8" s="574" customFormat="1" ht="22.5">
      <c r="B89" s="585" t="s">
        <v>231</v>
      </c>
      <c r="C89" s="586" t="s">
        <v>232</v>
      </c>
      <c r="D89" s="593" t="s">
        <v>233</v>
      </c>
      <c r="E89" s="592" t="s">
        <v>230</v>
      </c>
      <c r="F89" s="588">
        <f>'rateio lote 1 adm local e bdi'!E89</f>
        <v>800</v>
      </c>
      <c r="G89" s="590" t="e">
        <f>'rateio lote 1 adm local e bdi'!K89</f>
        <v>#REF!</v>
      </c>
      <c r="H89" s="591" t="e">
        <f t="shared" si="6"/>
        <v>#REF!</v>
      </c>
    </row>
    <row r="90" spans="2:8" s="574" customFormat="1" ht="22.5">
      <c r="B90" s="585" t="s">
        <v>234</v>
      </c>
      <c r="C90" s="586" t="s">
        <v>235</v>
      </c>
      <c r="D90" s="587" t="s">
        <v>236</v>
      </c>
      <c r="E90" s="588" t="s">
        <v>230</v>
      </c>
      <c r="F90" s="588">
        <f>'rateio lote 1 adm local e bdi'!E90</f>
        <v>400</v>
      </c>
      <c r="G90" s="590" t="e">
        <f>'rateio lote 1 adm local e bdi'!K90</f>
        <v>#REF!</v>
      </c>
      <c r="H90" s="591" t="e">
        <f t="shared" si="6"/>
        <v>#REF!</v>
      </c>
    </row>
    <row r="91" spans="2:8" s="574" customFormat="1" ht="18.75" customHeight="1">
      <c r="B91" s="594" t="s">
        <v>237</v>
      </c>
      <c r="C91" s="594"/>
      <c r="D91" s="594"/>
      <c r="E91" s="594"/>
      <c r="F91" s="594"/>
      <c r="G91" s="594"/>
      <c r="H91" s="596" t="e">
        <f>SUM(H88:H90)</f>
        <v>#REF!</v>
      </c>
    </row>
    <row r="92" spans="2:8" s="574" customFormat="1" ht="18.75" customHeight="1">
      <c r="B92" s="597" t="s">
        <v>238</v>
      </c>
      <c r="C92" s="597"/>
      <c r="D92" s="597"/>
      <c r="E92" s="597"/>
      <c r="F92" s="597"/>
      <c r="G92" s="597"/>
      <c r="H92" s="598" t="e">
        <f>H24+H30+H41+H49+H60+H86+H91</f>
        <v>#REF!</v>
      </c>
    </row>
    <row r="93" s="575" customFormat="1" ht="11.25"/>
    <row r="94" s="575" customFormat="1" ht="11.25"/>
    <row r="95" s="575" customFormat="1" ht="11.25"/>
    <row r="96" s="575" customFormat="1" ht="11.25"/>
    <row r="97" s="575" customFormat="1" ht="11.25"/>
    <row r="98" s="575" customFormat="1" ht="11.25"/>
    <row r="99" s="575" customFormat="1" ht="11.25"/>
    <row r="100" s="575" customFormat="1" ht="11.25"/>
    <row r="101" s="575" customFormat="1" ht="11.25"/>
    <row r="102" s="575" customFormat="1" ht="11.25"/>
    <row r="103" s="575" customFormat="1" ht="11.25"/>
    <row r="104" s="575" customFormat="1" ht="11.25"/>
    <row r="105" s="575" customFormat="1" ht="11.25"/>
    <row r="106" s="575" customFormat="1" ht="11.25"/>
    <row r="107" s="575" customFormat="1" ht="11.25"/>
    <row r="108" s="575" customFormat="1" ht="11.25"/>
    <row r="109" s="575" customFormat="1" ht="11.25"/>
    <row r="110" s="575" customFormat="1" ht="11.25"/>
    <row r="111" s="575" customFormat="1" ht="11.25"/>
    <row r="112" s="575" customFormat="1" ht="11.25"/>
    <row r="113" s="575" customFormat="1" ht="11.25"/>
    <row r="114" s="575" customFormat="1" ht="11.25"/>
    <row r="115" s="575" customFormat="1" ht="11.25"/>
    <row r="116" s="575" customFormat="1" ht="11.25"/>
    <row r="117" s="575" customFormat="1" ht="11.25"/>
    <row r="118" s="575" customFormat="1" ht="11.25"/>
    <row r="119" s="575" customFormat="1" ht="11.25"/>
    <row r="120" s="575" customFormat="1" ht="11.25"/>
    <row r="121" s="575" customFormat="1" ht="11.25"/>
    <row r="122" s="575" customFormat="1" ht="11.25"/>
    <row r="123" s="575" customFormat="1" ht="11.25"/>
    <row r="124" s="575" customFormat="1" ht="11.25"/>
  </sheetData>
  <sheetProtection selectLockedCells="1" selectUnlockedCells="1"/>
  <mergeCells count="25">
    <mergeCell ref="B3:H3"/>
    <mergeCell ref="B4:H4"/>
    <mergeCell ref="B7:H7"/>
    <mergeCell ref="B24:G24"/>
    <mergeCell ref="B25:H25"/>
    <mergeCell ref="B30:G30"/>
    <mergeCell ref="B31:H31"/>
    <mergeCell ref="B41:G41"/>
    <mergeCell ref="B42:H42"/>
    <mergeCell ref="B49:G49"/>
    <mergeCell ref="B50:H50"/>
    <mergeCell ref="B60:G60"/>
    <mergeCell ref="B61:H61"/>
    <mergeCell ref="B86:G86"/>
    <mergeCell ref="B87:H87"/>
    <mergeCell ref="B91:G91"/>
    <mergeCell ref="B92:G92"/>
    <mergeCell ref="B5:B6"/>
    <mergeCell ref="C5:C6"/>
    <mergeCell ref="D5:D6"/>
    <mergeCell ref="E5:E6"/>
    <mergeCell ref="F5:F6"/>
    <mergeCell ref="G5:G6"/>
    <mergeCell ref="H5:H6"/>
    <mergeCell ref="A1:I2"/>
  </mergeCells>
  <printOptions/>
  <pageMargins left="0.9798611111111111" right="0.5902777777777778" top="0.3902777777777778" bottom="0.5902777777777778" header="0.5118055555555555" footer="0.5118055555555555"/>
  <pageSetup horizontalDpi="300" verticalDpi="300" orientation="portrait" paperSize="9" scale="38"/>
</worksheet>
</file>

<file path=xl/worksheets/sheet10.xml><?xml version="1.0" encoding="utf-8"?>
<worksheet xmlns="http://schemas.openxmlformats.org/spreadsheetml/2006/main" xmlns:r="http://schemas.openxmlformats.org/officeDocument/2006/relationships">
  <dimension ref="A1:U81"/>
  <sheetViews>
    <sheetView view="pageBreakPreview" zoomScale="69" zoomScaleSheetLayoutView="69" workbookViewId="0" topLeftCell="A33">
      <selection activeCell="L36" sqref="L36"/>
    </sheetView>
  </sheetViews>
  <sheetFormatPr defaultColWidth="9.140625" defaultRowHeight="15"/>
  <cols>
    <col min="1" max="1" width="12.8515625" style="327" bestFit="1" customWidth="1"/>
    <col min="2" max="2" width="13.57421875" style="328" bestFit="1" customWidth="1"/>
    <col min="3" max="3" width="53.57421875" style="327" bestFit="1" customWidth="1"/>
    <col min="4" max="4" width="10.421875" style="328" bestFit="1" customWidth="1"/>
    <col min="5" max="5" width="13.57421875" style="329" bestFit="1" customWidth="1"/>
    <col min="6" max="6" width="11.00390625" style="329" bestFit="1" customWidth="1"/>
    <col min="7" max="7" width="11.421875" style="329" customWidth="1"/>
    <col min="8" max="8" width="8.00390625" style="329" customWidth="1"/>
    <col min="9" max="9" width="8.57421875" style="329" bestFit="1" customWidth="1"/>
    <col min="10" max="10" width="15.140625" style="329" bestFit="1" customWidth="1"/>
    <col min="11" max="11" width="11.00390625" style="329" customWidth="1"/>
    <col min="12" max="12" width="15.28125" style="330" customWidth="1"/>
    <col min="13" max="13" width="6.8515625" style="327" customWidth="1"/>
    <col min="14" max="14" width="17.28125" style="327" bestFit="1" customWidth="1"/>
    <col min="15" max="15" width="13.421875" style="327" bestFit="1" customWidth="1"/>
    <col min="16" max="16" width="14.421875" style="327" bestFit="1" customWidth="1"/>
    <col min="17" max="17" width="15.28125" style="327" bestFit="1" customWidth="1"/>
    <col min="18" max="18" width="18.57421875" style="327" bestFit="1" customWidth="1"/>
    <col min="19" max="19" width="15.28125" style="327" bestFit="1" customWidth="1"/>
    <col min="20" max="20" width="17.140625" style="327" bestFit="1" customWidth="1"/>
    <col min="21" max="21" width="15.57421875" style="327" customWidth="1"/>
    <col min="22" max="16384" width="9.140625" style="327" bestFit="1" customWidth="1"/>
  </cols>
  <sheetData>
    <row r="1" spans="1:12" s="1" customFormat="1" ht="54.75" customHeight="1">
      <c r="A1" s="331"/>
      <c r="B1" s="331"/>
      <c r="C1" s="331"/>
      <c r="D1" s="331"/>
      <c r="E1" s="331"/>
      <c r="F1" s="331"/>
      <c r="G1" s="331"/>
      <c r="H1" s="331"/>
      <c r="I1" s="331"/>
      <c r="J1" s="331"/>
      <c r="K1" s="331"/>
      <c r="L1" s="331"/>
    </row>
    <row r="2" spans="1:21" s="2" customFormat="1" ht="28.5" customHeight="1">
      <c r="A2" s="19" t="s">
        <v>449</v>
      </c>
      <c r="B2" s="19"/>
      <c r="C2" s="19"/>
      <c r="D2" s="19"/>
      <c r="E2" s="19"/>
      <c r="F2" s="19"/>
      <c r="G2" s="19"/>
      <c r="H2" s="19"/>
      <c r="I2" s="19"/>
      <c r="J2" s="19"/>
      <c r="K2" s="19"/>
      <c r="L2" s="19"/>
      <c r="M2" s="63"/>
      <c r="N2" s="63"/>
      <c r="O2" s="63"/>
      <c r="P2" s="63"/>
      <c r="Q2" s="63"/>
      <c r="R2" s="63"/>
      <c r="S2" s="63"/>
      <c r="T2" s="84"/>
      <c r="U2" s="84"/>
    </row>
    <row r="3" spans="1:21" s="2" customFormat="1" ht="43.5" customHeight="1">
      <c r="A3" s="332" t="s">
        <v>450</v>
      </c>
      <c r="B3" s="332"/>
      <c r="C3" s="332"/>
      <c r="D3" s="332"/>
      <c r="E3" s="332"/>
      <c r="F3" s="332"/>
      <c r="G3" s="332"/>
      <c r="H3" s="332"/>
      <c r="I3" s="332"/>
      <c r="J3" s="332"/>
      <c r="K3" s="332"/>
      <c r="L3" s="332"/>
      <c r="M3" s="63"/>
      <c r="N3" s="63"/>
      <c r="O3" s="63"/>
      <c r="P3" s="63"/>
      <c r="Q3" s="63"/>
      <c r="R3" s="63"/>
      <c r="S3" s="63"/>
      <c r="T3" s="84"/>
      <c r="U3" s="84"/>
    </row>
    <row r="4" spans="1:21" s="2" customFormat="1" ht="52.5" customHeight="1">
      <c r="A4" s="20" t="s">
        <v>451</v>
      </c>
      <c r="B4" s="20"/>
      <c r="C4" s="21" t="str">
        <f>RESUMO!B3</f>
        <v>CONTRATAÇÃO DE EMPRESA ESPECIALIZADA NA ÁREA DE ENGENHARIA PARA A EXECUÇÃO DOS SERVIÇOS DE MANUTENÇÃO/CONSERVAÇÃO DA INFRAESTRUTURA VIÁRIA NO MUNICÍPIO DE CAMARAGIBE.</v>
      </c>
      <c r="D4" s="21"/>
      <c r="E4" s="21"/>
      <c r="F4" s="21"/>
      <c r="G4" s="21"/>
      <c r="H4" s="21"/>
      <c r="I4" s="21"/>
      <c r="J4" s="21"/>
      <c r="K4" s="21"/>
      <c r="L4" s="361"/>
      <c r="M4" s="63"/>
      <c r="N4" s="63"/>
      <c r="O4" s="63"/>
      <c r="P4" s="63"/>
      <c r="Q4" s="63"/>
      <c r="R4" s="63"/>
      <c r="S4" s="63"/>
      <c r="T4" s="84"/>
      <c r="U4" s="84"/>
    </row>
    <row r="5" spans="1:21" s="2" customFormat="1" ht="30" customHeight="1">
      <c r="A5" s="20" t="s">
        <v>452</v>
      </c>
      <c r="B5" s="20"/>
      <c r="C5" s="21" t="s">
        <v>622</v>
      </c>
      <c r="D5" s="21"/>
      <c r="E5" s="21"/>
      <c r="F5" s="21"/>
      <c r="G5" s="21"/>
      <c r="H5" s="21"/>
      <c r="I5" s="21"/>
      <c r="J5" s="21"/>
      <c r="K5" s="21"/>
      <c r="L5" s="361"/>
      <c r="M5" s="63"/>
      <c r="N5" s="63"/>
      <c r="O5" s="63"/>
      <c r="P5" s="63"/>
      <c r="Q5" s="63"/>
      <c r="R5" s="63"/>
      <c r="S5" s="63"/>
      <c r="T5" s="84"/>
      <c r="U5" s="84"/>
    </row>
    <row r="6" spans="1:21" s="3" customFormat="1" ht="30" customHeight="1">
      <c r="A6" s="20" t="s">
        <v>453</v>
      </c>
      <c r="B6" s="20"/>
      <c r="C6" s="21" t="s">
        <v>454</v>
      </c>
      <c r="D6" s="21"/>
      <c r="E6" s="21"/>
      <c r="F6" s="21"/>
      <c r="G6" s="21"/>
      <c r="H6" s="21"/>
      <c r="I6" s="21"/>
      <c r="J6" s="21"/>
      <c r="K6" s="21"/>
      <c r="L6" s="361"/>
      <c r="M6" s="67"/>
      <c r="N6" s="67"/>
      <c r="O6" s="69"/>
      <c r="P6" s="67"/>
      <c r="Q6" s="67"/>
      <c r="R6" s="67"/>
      <c r="S6" s="67"/>
      <c r="T6" s="5"/>
      <c r="U6" s="5"/>
    </row>
    <row r="7" spans="1:21" s="2" customFormat="1" ht="33" customHeight="1">
      <c r="A7" s="22" t="s">
        <v>623</v>
      </c>
      <c r="B7" s="22"/>
      <c r="C7" s="22"/>
      <c r="D7" s="22"/>
      <c r="E7" s="22"/>
      <c r="F7" s="22"/>
      <c r="G7" s="22"/>
      <c r="H7" s="22"/>
      <c r="I7" s="22"/>
      <c r="J7" s="22"/>
      <c r="K7" s="22"/>
      <c r="L7" s="22"/>
      <c r="M7" s="63"/>
      <c r="N7" s="362" t="s">
        <v>624</v>
      </c>
      <c r="O7" s="362" t="s">
        <v>625</v>
      </c>
      <c r="P7" s="362"/>
      <c r="Q7" s="362"/>
      <c r="R7" s="362" t="s">
        <v>626</v>
      </c>
      <c r="S7" s="362"/>
      <c r="T7" s="362" t="s">
        <v>627</v>
      </c>
      <c r="U7" s="362"/>
    </row>
    <row r="8" spans="1:21" ht="57.75" customHeight="1">
      <c r="A8" s="333" t="s">
        <v>2</v>
      </c>
      <c r="B8" s="333" t="s">
        <v>628</v>
      </c>
      <c r="C8" s="333"/>
      <c r="D8" s="333" t="s">
        <v>629</v>
      </c>
      <c r="E8" s="333" t="s">
        <v>630</v>
      </c>
      <c r="F8" s="334" t="s">
        <v>631</v>
      </c>
      <c r="G8" s="333" t="s">
        <v>632</v>
      </c>
      <c r="H8" s="333" t="s">
        <v>633</v>
      </c>
      <c r="I8" s="333" t="s">
        <v>634</v>
      </c>
      <c r="J8" s="333" t="s">
        <v>635</v>
      </c>
      <c r="K8" s="333" t="s">
        <v>636</v>
      </c>
      <c r="L8" s="333" t="s">
        <v>238</v>
      </c>
      <c r="N8" s="363" t="s">
        <v>637</v>
      </c>
      <c r="O8" s="363" t="s">
        <v>638</v>
      </c>
      <c r="P8" s="363" t="s">
        <v>639</v>
      </c>
      <c r="Q8" s="363" t="s">
        <v>640</v>
      </c>
      <c r="R8" s="363" t="s">
        <v>639</v>
      </c>
      <c r="S8" s="363" t="s">
        <v>640</v>
      </c>
      <c r="T8" s="363" t="s">
        <v>639</v>
      </c>
      <c r="U8" s="363" t="s">
        <v>640</v>
      </c>
    </row>
    <row r="9" spans="1:21" ht="24" customHeight="1">
      <c r="A9" s="333" t="s">
        <v>441</v>
      </c>
      <c r="B9" s="335" t="s">
        <v>463</v>
      </c>
      <c r="C9" s="335"/>
      <c r="D9" s="335"/>
      <c r="E9" s="335"/>
      <c r="F9" s="335"/>
      <c r="G9" s="335"/>
      <c r="H9" s="335"/>
      <c r="I9" s="335"/>
      <c r="J9" s="335"/>
      <c r="K9" s="335"/>
      <c r="L9" s="333"/>
      <c r="N9" s="364">
        <v>1433</v>
      </c>
      <c r="O9" s="364" t="s">
        <v>238</v>
      </c>
      <c r="P9" s="365">
        <v>221749.8614</v>
      </c>
      <c r="Q9" s="385">
        <v>1032684.4171333334</v>
      </c>
      <c r="R9" s="365">
        <v>194943.492</v>
      </c>
      <c r="S9" s="385">
        <v>1110690.7829999998</v>
      </c>
      <c r="T9" s="365">
        <v>36595.46</v>
      </c>
      <c r="U9" s="385">
        <v>176227.84</v>
      </c>
    </row>
    <row r="10" spans="1:21" s="325" customFormat="1" ht="25.5" customHeight="1">
      <c r="A10" s="336" t="s">
        <v>10</v>
      </c>
      <c r="B10" s="337" t="str">
        <f>'ORÇAMENTO BÁSICO'!C12</f>
        <v>ADMINISTRAÇÃO LOCAL (MÊS)</v>
      </c>
      <c r="C10" s="337"/>
      <c r="D10" s="336" t="str">
        <f>'[1]COMP.001 ADM OBRAS'!D5</f>
        <v>MÊS</v>
      </c>
      <c r="E10" s="336"/>
      <c r="F10" s="336">
        <v>12</v>
      </c>
      <c r="G10" s="336"/>
      <c r="H10" s="338"/>
      <c r="I10" s="338"/>
      <c r="J10" s="338"/>
      <c r="K10" s="338"/>
      <c r="L10" s="338">
        <f>TRUNC(F10,2)</f>
        <v>12</v>
      </c>
      <c r="N10" s="366" t="s">
        <v>641</v>
      </c>
      <c r="O10" s="366"/>
      <c r="P10" s="366" t="s">
        <v>642</v>
      </c>
      <c r="Q10" s="366"/>
      <c r="R10" s="366" t="s">
        <v>643</v>
      </c>
      <c r="S10" s="366"/>
      <c r="T10" s="366"/>
      <c r="U10" s="366"/>
    </row>
    <row r="11" spans="1:12" s="325" customFormat="1" ht="30.75" customHeight="1">
      <c r="A11" s="27" t="s">
        <v>442</v>
      </c>
      <c r="B11" s="53" t="s">
        <v>463</v>
      </c>
      <c r="C11" s="53"/>
      <c r="D11" s="53"/>
      <c r="E11" s="53"/>
      <c r="F11" s="53"/>
      <c r="G11" s="53"/>
      <c r="H11" s="53"/>
      <c r="I11" s="53"/>
      <c r="J11" s="53"/>
      <c r="K11" s="53"/>
      <c r="L11" s="27"/>
    </row>
    <row r="12" spans="1:18" ht="52.5" customHeight="1">
      <c r="A12" s="45" t="s">
        <v>63</v>
      </c>
      <c r="B12" s="339" t="s">
        <v>465</v>
      </c>
      <c r="C12" s="339"/>
      <c r="D12" s="45" t="s">
        <v>466</v>
      </c>
      <c r="E12" s="45"/>
      <c r="F12" s="45">
        <v>2</v>
      </c>
      <c r="G12" s="45"/>
      <c r="H12" s="45">
        <v>4</v>
      </c>
      <c r="I12" s="45">
        <v>3</v>
      </c>
      <c r="J12" s="367"/>
      <c r="K12" s="367"/>
      <c r="L12" s="367">
        <f aca="true" t="shared" si="0" ref="L12:L14">ROUND(F12*I12*H12,2)</f>
        <v>24</v>
      </c>
      <c r="R12" s="386"/>
    </row>
    <row r="13" spans="1:18" ht="39.75" customHeight="1">
      <c r="A13" s="45" t="s">
        <v>66</v>
      </c>
      <c r="B13" s="339" t="s">
        <v>470</v>
      </c>
      <c r="C13" s="339"/>
      <c r="D13" s="45" t="s">
        <v>466</v>
      </c>
      <c r="E13" s="45"/>
      <c r="F13" s="45">
        <v>1</v>
      </c>
      <c r="G13" s="45"/>
      <c r="H13" s="45">
        <v>4</v>
      </c>
      <c r="I13" s="45">
        <v>5</v>
      </c>
      <c r="J13" s="367"/>
      <c r="K13" s="367"/>
      <c r="L13" s="367">
        <f t="shared" si="0"/>
        <v>20</v>
      </c>
      <c r="R13" s="387"/>
    </row>
    <row r="14" spans="1:18" ht="48.75" customHeight="1">
      <c r="A14" s="45" t="s">
        <v>69</v>
      </c>
      <c r="B14" s="339" t="s">
        <v>468</v>
      </c>
      <c r="C14" s="339"/>
      <c r="D14" s="45" t="s">
        <v>466</v>
      </c>
      <c r="E14" s="45"/>
      <c r="F14" s="45">
        <v>1</v>
      </c>
      <c r="G14" s="45"/>
      <c r="H14" s="45">
        <v>6</v>
      </c>
      <c r="I14" s="45">
        <v>5</v>
      </c>
      <c r="J14" s="367"/>
      <c r="K14" s="367"/>
      <c r="L14" s="367">
        <f t="shared" si="0"/>
        <v>30</v>
      </c>
      <c r="R14" s="388"/>
    </row>
    <row r="15" spans="1:12" ht="100.5" customHeight="1">
      <c r="A15" s="45" t="s">
        <v>72</v>
      </c>
      <c r="B15" s="339" t="s">
        <v>473</v>
      </c>
      <c r="C15" s="339"/>
      <c r="D15" s="45" t="s">
        <v>474</v>
      </c>
      <c r="E15" s="45"/>
      <c r="F15" s="45">
        <v>5</v>
      </c>
      <c r="G15" s="45"/>
      <c r="H15" s="45">
        <v>50</v>
      </c>
      <c r="I15" s="45"/>
      <c r="J15" s="367"/>
      <c r="K15" s="367"/>
      <c r="L15" s="367">
        <f>ROUND(F15*H15,2)</f>
        <v>250</v>
      </c>
    </row>
    <row r="16" spans="1:12" ht="37.5" customHeight="1">
      <c r="A16" s="45" t="s">
        <v>475</v>
      </c>
      <c r="B16" s="339" t="s">
        <v>477</v>
      </c>
      <c r="C16" s="339"/>
      <c r="D16" s="45" t="s">
        <v>478</v>
      </c>
      <c r="E16" s="45"/>
      <c r="F16" s="45">
        <v>20</v>
      </c>
      <c r="G16" s="45"/>
      <c r="H16" s="45"/>
      <c r="I16" s="45"/>
      <c r="J16" s="367"/>
      <c r="K16" s="367"/>
      <c r="L16" s="367">
        <f>ROUND(F16,2)</f>
        <v>20</v>
      </c>
    </row>
    <row r="17" spans="1:12" ht="27" customHeight="1">
      <c r="A17" s="27" t="s">
        <v>480</v>
      </c>
      <c r="B17" s="53" t="s">
        <v>481</v>
      </c>
      <c r="C17" s="53"/>
      <c r="D17" s="53"/>
      <c r="E17" s="53"/>
      <c r="F17" s="53"/>
      <c r="G17" s="53"/>
      <c r="H17" s="53"/>
      <c r="I17" s="53"/>
      <c r="J17" s="53"/>
      <c r="K17" s="53"/>
      <c r="L17" s="27"/>
    </row>
    <row r="18" spans="1:12" ht="46.5" customHeight="1">
      <c r="A18" s="333" t="s">
        <v>2</v>
      </c>
      <c r="B18" s="333" t="s">
        <v>628</v>
      </c>
      <c r="C18" s="333"/>
      <c r="D18" s="333" t="s">
        <v>629</v>
      </c>
      <c r="E18" s="333" t="s">
        <v>630</v>
      </c>
      <c r="F18" s="334" t="s">
        <v>631</v>
      </c>
      <c r="G18" s="333" t="s">
        <v>632</v>
      </c>
      <c r="H18" s="333" t="s">
        <v>633</v>
      </c>
      <c r="I18" s="333" t="s">
        <v>634</v>
      </c>
      <c r="J18" s="333" t="s">
        <v>635</v>
      </c>
      <c r="K18" s="333" t="s">
        <v>636</v>
      </c>
      <c r="L18" s="333" t="s">
        <v>238</v>
      </c>
    </row>
    <row r="19" spans="1:12" ht="36.75" customHeight="1">
      <c r="A19" s="47" t="s">
        <v>77</v>
      </c>
      <c r="B19" s="54" t="s">
        <v>644</v>
      </c>
      <c r="C19" s="54"/>
      <c r="D19" s="47" t="s">
        <v>484</v>
      </c>
      <c r="E19" s="340"/>
      <c r="F19" s="340"/>
      <c r="G19" s="341">
        <v>67</v>
      </c>
      <c r="H19" s="342">
        <v>2</v>
      </c>
      <c r="I19" s="368">
        <v>0.15</v>
      </c>
      <c r="J19" s="369"/>
      <c r="K19" s="369"/>
      <c r="L19" s="369">
        <f>ROUND(PRODUCT(G19:I19),2)</f>
        <v>20.1</v>
      </c>
    </row>
    <row r="20" spans="1:12" ht="36.75" customHeight="1">
      <c r="A20" s="47" t="s">
        <v>80</v>
      </c>
      <c r="B20" s="54" t="s">
        <v>645</v>
      </c>
      <c r="C20" s="54"/>
      <c r="D20" s="47" t="s">
        <v>484</v>
      </c>
      <c r="E20" s="340"/>
      <c r="F20" s="340"/>
      <c r="G20" s="341">
        <v>87</v>
      </c>
      <c r="H20" s="342">
        <v>2</v>
      </c>
      <c r="I20" s="368">
        <v>0.15</v>
      </c>
      <c r="J20" s="370"/>
      <c r="K20" s="370"/>
      <c r="L20" s="369">
        <f>ROUND(PRODUCT(G20:I20),2)</f>
        <v>26.1</v>
      </c>
    </row>
    <row r="21" spans="1:14" ht="24.75" customHeight="1">
      <c r="A21" s="47" t="s">
        <v>83</v>
      </c>
      <c r="B21" s="54" t="s">
        <v>488</v>
      </c>
      <c r="C21" s="54"/>
      <c r="D21" s="47" t="s">
        <v>466</v>
      </c>
      <c r="E21" s="343">
        <v>0.045</v>
      </c>
      <c r="F21" s="340"/>
      <c r="G21" s="341">
        <v>32000</v>
      </c>
      <c r="H21" s="342">
        <v>5.5</v>
      </c>
      <c r="I21" s="371"/>
      <c r="J21" s="369"/>
      <c r="K21" s="369"/>
      <c r="L21" s="369">
        <f aca="true" t="shared" si="1" ref="L21:L25">ROUND(PRODUCT(E21:J21),2)</f>
        <v>7920</v>
      </c>
      <c r="M21" s="372" t="s">
        <v>646</v>
      </c>
      <c r="N21" s="373"/>
    </row>
    <row r="22" spans="1:14" ht="40.5" customHeight="1">
      <c r="A22" s="47" t="s">
        <v>86</v>
      </c>
      <c r="B22" s="54" t="s">
        <v>490</v>
      </c>
      <c r="C22" s="54"/>
      <c r="D22" s="47" t="s">
        <v>466</v>
      </c>
      <c r="E22" s="343">
        <v>0.045</v>
      </c>
      <c r="F22" s="340"/>
      <c r="G22" s="341"/>
      <c r="H22" s="342"/>
      <c r="I22" s="368"/>
      <c r="J22" s="370">
        <f>L21</f>
        <v>7920</v>
      </c>
      <c r="K22" s="370"/>
      <c r="L22" s="369">
        <f t="shared" si="1"/>
        <v>356.4</v>
      </c>
      <c r="M22" s="374" t="s">
        <v>647</v>
      </c>
      <c r="N22" s="373"/>
    </row>
    <row r="23" spans="1:14" ht="40.5" customHeight="1">
      <c r="A23" s="47" t="s">
        <v>89</v>
      </c>
      <c r="B23" s="54" t="s">
        <v>492</v>
      </c>
      <c r="C23" s="54"/>
      <c r="D23" s="47" t="s">
        <v>466</v>
      </c>
      <c r="E23" s="343">
        <v>0.045</v>
      </c>
      <c r="F23" s="340"/>
      <c r="G23" s="341">
        <v>32000</v>
      </c>
      <c r="H23" s="342">
        <v>5.5</v>
      </c>
      <c r="I23" s="368"/>
      <c r="J23" s="370"/>
      <c r="K23" s="370"/>
      <c r="L23" s="369">
        <f t="shared" si="1"/>
        <v>7920</v>
      </c>
      <c r="M23" s="374" t="s">
        <v>648</v>
      </c>
      <c r="N23" s="373"/>
    </row>
    <row r="24" spans="1:14" ht="24.75" customHeight="1">
      <c r="A24" s="47" t="s">
        <v>92</v>
      </c>
      <c r="B24" s="54" t="s">
        <v>494</v>
      </c>
      <c r="C24" s="54"/>
      <c r="D24" s="47" t="s">
        <v>495</v>
      </c>
      <c r="E24" s="343">
        <v>0.15</v>
      </c>
      <c r="F24" s="340">
        <v>2</v>
      </c>
      <c r="G24" s="341">
        <v>4200</v>
      </c>
      <c r="H24" s="342"/>
      <c r="I24" s="368"/>
      <c r="J24" s="369"/>
      <c r="K24" s="369"/>
      <c r="L24" s="369">
        <f t="shared" si="1"/>
        <v>1260</v>
      </c>
      <c r="M24" s="374" t="s">
        <v>649</v>
      </c>
      <c r="N24" s="373"/>
    </row>
    <row r="25" spans="1:12" ht="24.75" customHeight="1">
      <c r="A25" s="47" t="s">
        <v>95</v>
      </c>
      <c r="B25" s="54" t="s">
        <v>497</v>
      </c>
      <c r="C25" s="54"/>
      <c r="D25" s="47" t="s">
        <v>495</v>
      </c>
      <c r="E25" s="343">
        <v>0.15</v>
      </c>
      <c r="F25" s="340">
        <v>2</v>
      </c>
      <c r="G25" s="341">
        <v>4200</v>
      </c>
      <c r="H25" s="342"/>
      <c r="I25" s="368"/>
      <c r="J25" s="370"/>
      <c r="K25" s="370"/>
      <c r="L25" s="369">
        <f t="shared" si="1"/>
        <v>1260</v>
      </c>
    </row>
    <row r="26" spans="1:12" ht="30" customHeight="1">
      <c r="A26" s="27" t="s">
        <v>499</v>
      </c>
      <c r="B26" s="53" t="s">
        <v>500</v>
      </c>
      <c r="C26" s="53"/>
      <c r="D26" s="53"/>
      <c r="E26" s="53"/>
      <c r="F26" s="53"/>
      <c r="G26" s="53"/>
      <c r="H26" s="53"/>
      <c r="I26" s="53"/>
      <c r="J26" s="53"/>
      <c r="K26" s="53"/>
      <c r="L26" s="27"/>
    </row>
    <row r="27" spans="1:12" ht="49.5" customHeight="1">
      <c r="A27" s="333" t="s">
        <v>2</v>
      </c>
      <c r="B27" s="333" t="s">
        <v>628</v>
      </c>
      <c r="C27" s="333"/>
      <c r="D27" s="333" t="s">
        <v>629</v>
      </c>
      <c r="E27" s="333" t="s">
        <v>630</v>
      </c>
      <c r="F27" s="333" t="s">
        <v>631</v>
      </c>
      <c r="G27" s="333" t="s">
        <v>632</v>
      </c>
      <c r="H27" s="333" t="s">
        <v>633</v>
      </c>
      <c r="I27" s="333" t="s">
        <v>634</v>
      </c>
      <c r="J27" s="333" t="s">
        <v>635</v>
      </c>
      <c r="K27" s="333" t="s">
        <v>636</v>
      </c>
      <c r="L27" s="333" t="s">
        <v>238</v>
      </c>
    </row>
    <row r="28" spans="1:12" ht="45.75" customHeight="1">
      <c r="A28" s="47" t="s">
        <v>106</v>
      </c>
      <c r="B28" s="54" t="s">
        <v>650</v>
      </c>
      <c r="C28" s="54"/>
      <c r="D28" s="55" t="s">
        <v>466</v>
      </c>
      <c r="E28" s="219"/>
      <c r="F28" s="219"/>
      <c r="G28" s="344">
        <f>TRUNC(221749.86*0.3+36595.46*0.1,2)</f>
        <v>70184.5</v>
      </c>
      <c r="H28" s="344">
        <v>5.5</v>
      </c>
      <c r="I28" s="219"/>
      <c r="J28" s="219"/>
      <c r="K28" s="219"/>
      <c r="L28" s="375">
        <f>ROUND(PRODUCT(G28:I28),2)</f>
        <v>386014.75</v>
      </c>
    </row>
    <row r="29" spans="1:12" ht="37.5" customHeight="1">
      <c r="A29" s="47" t="s">
        <v>109</v>
      </c>
      <c r="B29" s="54" t="s">
        <v>504</v>
      </c>
      <c r="C29" s="54"/>
      <c r="D29" s="47" t="s">
        <v>484</v>
      </c>
      <c r="E29" s="345"/>
      <c r="F29" s="219"/>
      <c r="G29" s="219"/>
      <c r="H29" s="219"/>
      <c r="I29" s="219">
        <v>0.1</v>
      </c>
      <c r="J29" s="219">
        <f>L21+L22+L23</f>
        <v>16196.4</v>
      </c>
      <c r="K29" s="219"/>
      <c r="L29" s="375">
        <f>ROUND(PRODUCT(E29:J29),2)</f>
        <v>1619.64</v>
      </c>
    </row>
    <row r="30" spans="1:12" s="326" customFormat="1" ht="48.75" customHeight="1">
      <c r="A30" s="215" t="s">
        <v>112</v>
      </c>
      <c r="B30" s="346" t="s">
        <v>651</v>
      </c>
      <c r="C30" s="346"/>
      <c r="D30" s="215" t="s">
        <v>484</v>
      </c>
      <c r="E30" s="336">
        <v>1.25</v>
      </c>
      <c r="F30" s="336"/>
      <c r="G30" s="336"/>
      <c r="H30" s="336"/>
      <c r="I30" s="336"/>
      <c r="J30" s="336"/>
      <c r="K30" s="336">
        <f>(L21+L22+L23)*0.15+L19+L20</f>
        <v>2475.66</v>
      </c>
      <c r="L30" s="375">
        <f>ROUND(PRODUCT(E30:K30),2)</f>
        <v>3094.58</v>
      </c>
    </row>
    <row r="31" spans="1:13" ht="46.5" customHeight="1">
      <c r="A31" s="47" t="s">
        <v>115</v>
      </c>
      <c r="B31" s="54" t="s">
        <v>508</v>
      </c>
      <c r="C31" s="54"/>
      <c r="D31" s="47" t="s">
        <v>484</v>
      </c>
      <c r="E31" s="347">
        <v>0.01</v>
      </c>
      <c r="F31" s="219"/>
      <c r="G31" s="219">
        <f>G28</f>
        <v>70184.5</v>
      </c>
      <c r="H31" s="219">
        <v>5.5</v>
      </c>
      <c r="I31" s="219">
        <v>0.25</v>
      </c>
      <c r="J31" s="219"/>
      <c r="K31" s="219"/>
      <c r="L31" s="375">
        <f>ROUND(PRODUCT(E31:J31),2)</f>
        <v>965.04</v>
      </c>
      <c r="M31" s="372" t="s">
        <v>652</v>
      </c>
    </row>
    <row r="32" spans="1:16" ht="52.5" customHeight="1">
      <c r="A32" s="47" t="s">
        <v>118</v>
      </c>
      <c r="B32" s="54" t="s">
        <v>510</v>
      </c>
      <c r="C32" s="54"/>
      <c r="D32" s="47" t="s">
        <v>484</v>
      </c>
      <c r="E32" s="219"/>
      <c r="F32" s="219"/>
      <c r="G32" s="219"/>
      <c r="H32" s="219"/>
      <c r="I32" s="219"/>
      <c r="J32" s="219">
        <f>L30*0.4</f>
        <v>1237.832</v>
      </c>
      <c r="K32" s="219"/>
      <c r="L32" s="375">
        <f aca="true" t="shared" si="2" ref="L32:L34">ROUND(PRODUCT(G32:K32),2)</f>
        <v>1237.83</v>
      </c>
      <c r="N32" s="376"/>
      <c r="O32" s="376"/>
      <c r="P32" s="376"/>
    </row>
    <row r="33" spans="1:16" ht="48.75" customHeight="1">
      <c r="A33" s="47" t="s">
        <v>121</v>
      </c>
      <c r="B33" s="54" t="s">
        <v>512</v>
      </c>
      <c r="C33" s="54"/>
      <c r="D33" s="47" t="s">
        <v>484</v>
      </c>
      <c r="E33" s="219"/>
      <c r="F33" s="219"/>
      <c r="G33" s="219"/>
      <c r="H33" s="219"/>
      <c r="I33" s="219"/>
      <c r="J33" s="219">
        <f>L30*0.2</f>
        <v>618.916</v>
      </c>
      <c r="K33" s="219"/>
      <c r="L33" s="375">
        <f t="shared" si="2"/>
        <v>618.92</v>
      </c>
      <c r="N33" s="376"/>
      <c r="O33" s="376"/>
      <c r="P33" s="376"/>
    </row>
    <row r="34" spans="1:16" ht="51.75" customHeight="1">
      <c r="A34" s="47" t="s">
        <v>513</v>
      </c>
      <c r="B34" s="54" t="s">
        <v>515</v>
      </c>
      <c r="C34" s="54"/>
      <c r="D34" s="47" t="s">
        <v>484</v>
      </c>
      <c r="E34" s="219"/>
      <c r="F34" s="219"/>
      <c r="G34" s="219"/>
      <c r="H34" s="219"/>
      <c r="I34" s="219"/>
      <c r="J34" s="219">
        <f>L30*0.3</f>
        <v>928.3739999999999</v>
      </c>
      <c r="K34" s="219"/>
      <c r="L34" s="375">
        <f t="shared" si="2"/>
        <v>928.37</v>
      </c>
      <c r="N34" s="376"/>
      <c r="O34" s="376"/>
      <c r="P34" s="376"/>
    </row>
    <row r="35" spans="1:12" ht="49.5" customHeight="1">
      <c r="A35" s="47" t="s">
        <v>516</v>
      </c>
      <c r="B35" s="54" t="s">
        <v>518</v>
      </c>
      <c r="C35" s="54"/>
      <c r="D35" s="47" t="s">
        <v>484</v>
      </c>
      <c r="E35" s="219"/>
      <c r="F35" s="219"/>
      <c r="G35" s="219"/>
      <c r="H35" s="219"/>
      <c r="I35" s="219"/>
      <c r="J35" s="219">
        <f>L30*0.1</f>
        <v>309.458</v>
      </c>
      <c r="K35" s="219"/>
      <c r="L35" s="375">
        <f>ROUND(PRODUCT(G35:K35),)</f>
        <v>309</v>
      </c>
    </row>
    <row r="36" spans="1:13" s="326" customFormat="1" ht="78.75" customHeight="1">
      <c r="A36" s="215" t="s">
        <v>519</v>
      </c>
      <c r="B36" s="346" t="s">
        <v>653</v>
      </c>
      <c r="C36" s="346"/>
      <c r="D36" s="215" t="s">
        <v>484</v>
      </c>
      <c r="E36" s="345">
        <v>0.1</v>
      </c>
      <c r="F36" s="336"/>
      <c r="G36" s="348">
        <f>TRUNC(221749.86*0.3+36595.46*0.1,2)</f>
        <v>70184.5</v>
      </c>
      <c r="H36" s="348">
        <v>5.5</v>
      </c>
      <c r="I36" s="336">
        <v>0.1</v>
      </c>
      <c r="J36" s="336"/>
      <c r="K36" s="336"/>
      <c r="L36" s="377">
        <f>ROUND(PRODUCT(E36:I36),2)</f>
        <v>3860.15</v>
      </c>
      <c r="M36" s="378" t="s">
        <v>654</v>
      </c>
    </row>
    <row r="37" spans="1:13" ht="42" customHeight="1">
      <c r="A37" s="47" t="s">
        <v>522</v>
      </c>
      <c r="B37" s="54" t="s">
        <v>524</v>
      </c>
      <c r="C37" s="54"/>
      <c r="D37" s="47" t="s">
        <v>484</v>
      </c>
      <c r="E37" s="219"/>
      <c r="F37" s="219"/>
      <c r="G37" s="219"/>
      <c r="H37" s="219"/>
      <c r="I37" s="219"/>
      <c r="J37" s="219">
        <f>L31</f>
        <v>965.04</v>
      </c>
      <c r="K37" s="219"/>
      <c r="L37" s="375">
        <f>ROUND(PRODUCT(G37:K37),2)</f>
        <v>965.04</v>
      </c>
      <c r="M37" s="379"/>
    </row>
    <row r="38" spans="1:12" ht="34.5" customHeight="1">
      <c r="A38" s="27" t="s">
        <v>445</v>
      </c>
      <c r="B38" s="349" t="s">
        <v>526</v>
      </c>
      <c r="C38" s="349"/>
      <c r="D38" s="349"/>
      <c r="E38" s="349"/>
      <c r="F38" s="349"/>
      <c r="G38" s="349"/>
      <c r="H38" s="349"/>
      <c r="I38" s="349"/>
      <c r="J38" s="349"/>
      <c r="K38" s="349"/>
      <c r="L38" s="333"/>
    </row>
    <row r="39" spans="1:12" ht="51" customHeight="1">
      <c r="A39" s="333" t="s">
        <v>2</v>
      </c>
      <c r="B39" s="333" t="s">
        <v>628</v>
      </c>
      <c r="C39" s="333"/>
      <c r="D39" s="333" t="s">
        <v>629</v>
      </c>
      <c r="E39" s="333" t="s">
        <v>630</v>
      </c>
      <c r="F39" s="333" t="s">
        <v>631</v>
      </c>
      <c r="G39" s="333" t="s">
        <v>632</v>
      </c>
      <c r="H39" s="333" t="s">
        <v>633</v>
      </c>
      <c r="I39" s="333" t="s">
        <v>634</v>
      </c>
      <c r="J39" s="333" t="s">
        <v>635</v>
      </c>
      <c r="K39" s="333" t="s">
        <v>636</v>
      </c>
      <c r="L39" s="333" t="s">
        <v>238</v>
      </c>
    </row>
    <row r="40" spans="1:12" ht="57" customHeight="1">
      <c r="A40" s="47" t="s">
        <v>126</v>
      </c>
      <c r="B40" s="339" t="s">
        <v>528</v>
      </c>
      <c r="C40" s="339"/>
      <c r="D40" s="47" t="s">
        <v>466</v>
      </c>
      <c r="E40" s="350"/>
      <c r="F40" s="351">
        <v>2</v>
      </c>
      <c r="G40" s="351">
        <v>400</v>
      </c>
      <c r="H40" s="352">
        <v>1</v>
      </c>
      <c r="I40" s="219"/>
      <c r="J40" s="219"/>
      <c r="K40" s="219"/>
      <c r="L40" s="380">
        <f>ROUND(F40*G40*H40,2)</f>
        <v>800</v>
      </c>
    </row>
    <row r="41" spans="1:20" ht="103.5" customHeight="1">
      <c r="A41" s="47" t="s">
        <v>129</v>
      </c>
      <c r="B41" s="339" t="s">
        <v>530</v>
      </c>
      <c r="C41" s="339"/>
      <c r="D41" s="47" t="s">
        <v>466</v>
      </c>
      <c r="E41" s="350"/>
      <c r="F41" s="351"/>
      <c r="G41" s="351"/>
      <c r="H41" s="352"/>
      <c r="I41" s="219"/>
      <c r="J41" s="381">
        <f>L23</f>
        <v>7920</v>
      </c>
      <c r="K41" s="219"/>
      <c r="L41" s="358">
        <f>ROUND(J41,2)</f>
        <v>7920</v>
      </c>
      <c r="M41" s="374" t="s">
        <v>655</v>
      </c>
      <c r="N41" s="374"/>
      <c r="O41" s="374"/>
      <c r="P41" s="382"/>
      <c r="Q41" s="382"/>
      <c r="R41" s="382"/>
      <c r="S41" s="382"/>
      <c r="T41" s="382"/>
    </row>
    <row r="42" spans="1:20" ht="54" customHeight="1">
      <c r="A42" s="47" t="s">
        <v>132</v>
      </c>
      <c r="B42" s="339" t="s">
        <v>532</v>
      </c>
      <c r="C42" s="339"/>
      <c r="D42" s="103" t="s">
        <v>495</v>
      </c>
      <c r="E42" s="353"/>
      <c r="F42" s="41">
        <v>2</v>
      </c>
      <c r="G42" s="351">
        <v>630</v>
      </c>
      <c r="H42" s="352"/>
      <c r="I42" s="383"/>
      <c r="J42" s="383"/>
      <c r="K42" s="383"/>
      <c r="L42" s="358">
        <f>ROUND(F42*G42,2)</f>
        <v>1260</v>
      </c>
      <c r="M42" s="374"/>
      <c r="N42" s="374"/>
      <c r="O42" s="374"/>
      <c r="P42" s="382"/>
      <c r="Q42" s="382"/>
      <c r="R42" s="382"/>
      <c r="S42" s="382"/>
      <c r="T42" s="382"/>
    </row>
    <row r="43" spans="1:20" ht="102" customHeight="1">
      <c r="A43" s="47" t="s">
        <v>135</v>
      </c>
      <c r="B43" s="339" t="s">
        <v>534</v>
      </c>
      <c r="C43" s="339"/>
      <c r="D43" s="47" t="s">
        <v>495</v>
      </c>
      <c r="E43" s="354"/>
      <c r="F43" s="355">
        <v>2</v>
      </c>
      <c r="G43" s="351">
        <v>630</v>
      </c>
      <c r="H43" s="352"/>
      <c r="I43" s="358"/>
      <c r="J43" s="358"/>
      <c r="K43" s="358"/>
      <c r="L43" s="358">
        <f>ROUND(F43*G43,2)</f>
        <v>1260</v>
      </c>
      <c r="M43" s="374"/>
      <c r="N43" s="374"/>
      <c r="O43" s="374"/>
      <c r="P43" s="382"/>
      <c r="Q43" s="382"/>
      <c r="R43" s="382"/>
      <c r="S43" s="382"/>
      <c r="T43" s="382"/>
    </row>
    <row r="44" spans="1:20" ht="93.75" customHeight="1">
      <c r="A44" s="47" t="s">
        <v>138</v>
      </c>
      <c r="B44" s="339" t="s">
        <v>536</v>
      </c>
      <c r="C44" s="339"/>
      <c r="D44" s="47" t="s">
        <v>484</v>
      </c>
      <c r="E44" s="356"/>
      <c r="F44" s="219"/>
      <c r="G44" s="219"/>
      <c r="H44" s="219"/>
      <c r="I44" s="219">
        <v>0.05</v>
      </c>
      <c r="J44" s="219">
        <f>L21</f>
        <v>7920</v>
      </c>
      <c r="K44" s="219"/>
      <c r="L44" s="358">
        <f aca="true" t="shared" si="3" ref="L44:L59">ROUND(PRODUCT(F44:K44),2)</f>
        <v>396</v>
      </c>
      <c r="M44" s="374" t="s">
        <v>656</v>
      </c>
      <c r="N44" s="374"/>
      <c r="O44" s="374"/>
      <c r="P44" s="382"/>
      <c r="Q44" s="382"/>
      <c r="R44" s="382"/>
      <c r="S44" s="382"/>
      <c r="T44" s="382"/>
    </row>
    <row r="45" spans="1:12" ht="60" customHeight="1">
      <c r="A45" s="47" t="s">
        <v>537</v>
      </c>
      <c r="B45" s="339" t="s">
        <v>657</v>
      </c>
      <c r="C45" s="339"/>
      <c r="D45" s="47" t="s">
        <v>401</v>
      </c>
      <c r="E45" s="354"/>
      <c r="F45" s="355">
        <v>170</v>
      </c>
      <c r="G45" s="219">
        <f>L44</f>
        <v>396</v>
      </c>
      <c r="H45" s="219"/>
      <c r="I45" s="219"/>
      <c r="J45" s="219"/>
      <c r="K45" s="219"/>
      <c r="L45" s="358">
        <f t="shared" si="3"/>
        <v>67320</v>
      </c>
    </row>
    <row r="46" spans="1:12" ht="52.5" customHeight="1">
      <c r="A46" s="47" t="s">
        <v>141</v>
      </c>
      <c r="B46" s="339" t="s">
        <v>541</v>
      </c>
      <c r="C46" s="339"/>
      <c r="D46" s="47" t="s">
        <v>484</v>
      </c>
      <c r="E46" s="354"/>
      <c r="F46" s="355"/>
      <c r="G46" s="219"/>
      <c r="H46" s="219"/>
      <c r="I46" s="219"/>
      <c r="J46" s="219">
        <f>L44</f>
        <v>396</v>
      </c>
      <c r="K46" s="219"/>
      <c r="L46" s="358">
        <f t="shared" si="3"/>
        <v>396</v>
      </c>
    </row>
    <row r="47" spans="1:12" ht="51.75" customHeight="1">
      <c r="A47" s="47" t="s">
        <v>144</v>
      </c>
      <c r="B47" s="339" t="s">
        <v>543</v>
      </c>
      <c r="C47" s="339"/>
      <c r="D47" s="47" t="s">
        <v>484</v>
      </c>
      <c r="E47" s="354"/>
      <c r="F47" s="355"/>
      <c r="G47" s="219"/>
      <c r="H47" s="219"/>
      <c r="I47" s="219"/>
      <c r="J47" s="219">
        <f>L44</f>
        <v>396</v>
      </c>
      <c r="K47" s="219"/>
      <c r="L47" s="358">
        <f t="shared" si="3"/>
        <v>396</v>
      </c>
    </row>
    <row r="48" spans="1:12" ht="39.75" customHeight="1">
      <c r="A48" s="47" t="s">
        <v>147</v>
      </c>
      <c r="B48" s="339" t="s">
        <v>545</v>
      </c>
      <c r="C48" s="339"/>
      <c r="D48" s="47" t="s">
        <v>484</v>
      </c>
      <c r="E48" s="354"/>
      <c r="F48" s="355"/>
      <c r="G48" s="219"/>
      <c r="H48" s="219"/>
      <c r="I48" s="219"/>
      <c r="J48" s="219">
        <f>L44</f>
        <v>396</v>
      </c>
      <c r="K48" s="219"/>
      <c r="L48" s="358">
        <f t="shared" si="3"/>
        <v>396</v>
      </c>
    </row>
    <row r="49" spans="1:12" ht="69.75" customHeight="1">
      <c r="A49" s="47" t="s">
        <v>150</v>
      </c>
      <c r="B49" s="339" t="s">
        <v>547</v>
      </c>
      <c r="C49" s="339"/>
      <c r="D49" s="47" t="s">
        <v>466</v>
      </c>
      <c r="E49" s="354"/>
      <c r="F49" s="355"/>
      <c r="G49" s="219"/>
      <c r="H49" s="219"/>
      <c r="I49" s="219"/>
      <c r="J49" s="219">
        <f>L21+L22</f>
        <v>8276.4</v>
      </c>
      <c r="K49" s="219"/>
      <c r="L49" s="358">
        <f t="shared" si="3"/>
        <v>8276.4</v>
      </c>
    </row>
    <row r="50" spans="1:12" ht="60.75" customHeight="1">
      <c r="A50" s="47" t="s">
        <v>548</v>
      </c>
      <c r="B50" s="357" t="s">
        <v>550</v>
      </c>
      <c r="C50" s="357"/>
      <c r="D50" s="47" t="s">
        <v>401</v>
      </c>
      <c r="E50" s="219"/>
      <c r="F50" s="219"/>
      <c r="G50" s="355"/>
      <c r="H50" s="358"/>
      <c r="I50" s="219">
        <v>0.5</v>
      </c>
      <c r="J50" s="219">
        <f>L21+L22</f>
        <v>8276.4</v>
      </c>
      <c r="K50" s="358"/>
      <c r="L50" s="358">
        <f t="shared" si="3"/>
        <v>4138.2</v>
      </c>
    </row>
    <row r="51" spans="1:12" ht="37.5" customHeight="1">
      <c r="A51" s="47" t="s">
        <v>551</v>
      </c>
      <c r="B51" s="359" t="s">
        <v>553</v>
      </c>
      <c r="C51" s="359"/>
      <c r="D51" s="47" t="s">
        <v>484</v>
      </c>
      <c r="E51" s="355"/>
      <c r="F51" s="355"/>
      <c r="G51" s="355"/>
      <c r="H51" s="355"/>
      <c r="I51" s="355"/>
      <c r="J51" s="355">
        <f>L44</f>
        <v>396</v>
      </c>
      <c r="K51" s="355"/>
      <c r="L51" s="358">
        <f t="shared" si="3"/>
        <v>396</v>
      </c>
    </row>
    <row r="52" spans="1:14" ht="90" customHeight="1">
      <c r="A52" s="47" t="s">
        <v>554</v>
      </c>
      <c r="B52" s="339" t="s">
        <v>556</v>
      </c>
      <c r="C52" s="339"/>
      <c r="D52" s="47" t="s">
        <v>484</v>
      </c>
      <c r="E52" s="353"/>
      <c r="F52" s="355"/>
      <c r="G52" s="355"/>
      <c r="H52" s="355"/>
      <c r="I52" s="355">
        <v>0.1</v>
      </c>
      <c r="J52" s="355">
        <f>L21+L22+L23+L53</f>
        <v>18533.9</v>
      </c>
      <c r="K52" s="355"/>
      <c r="L52" s="358">
        <f t="shared" si="3"/>
        <v>1853.39</v>
      </c>
      <c r="M52" s="384"/>
      <c r="N52" s="384"/>
    </row>
    <row r="53" spans="1:13" ht="91.5" customHeight="1">
      <c r="A53" s="47" t="s">
        <v>557</v>
      </c>
      <c r="B53" s="339" t="s">
        <v>559</v>
      </c>
      <c r="C53" s="339"/>
      <c r="D53" s="47" t="s">
        <v>484</v>
      </c>
      <c r="E53" s="353"/>
      <c r="F53" s="355"/>
      <c r="G53" s="355">
        <v>850</v>
      </c>
      <c r="H53" s="355">
        <v>5.5</v>
      </c>
      <c r="I53" s="355">
        <v>0.5</v>
      </c>
      <c r="J53" s="355"/>
      <c r="K53" s="355"/>
      <c r="L53" s="358">
        <f t="shared" si="3"/>
        <v>2337.5</v>
      </c>
      <c r="M53" s="384"/>
    </row>
    <row r="54" spans="1:13" ht="105" customHeight="1">
      <c r="A54" s="47" t="s">
        <v>560</v>
      </c>
      <c r="B54" s="339" t="s">
        <v>568</v>
      </c>
      <c r="C54" s="339"/>
      <c r="D54" s="47" t="s">
        <v>484</v>
      </c>
      <c r="E54" s="353"/>
      <c r="F54" s="355"/>
      <c r="G54" s="355">
        <f>L22</f>
        <v>356.4</v>
      </c>
      <c r="H54" s="355"/>
      <c r="I54" s="355">
        <v>0.05</v>
      </c>
      <c r="J54" s="355"/>
      <c r="K54" s="355"/>
      <c r="L54" s="358">
        <f t="shared" si="3"/>
        <v>17.82</v>
      </c>
      <c r="M54" s="384"/>
    </row>
    <row r="55" spans="1:13" ht="57.75" customHeight="1">
      <c r="A55" s="47" t="s">
        <v>563</v>
      </c>
      <c r="B55" s="339" t="s">
        <v>565</v>
      </c>
      <c r="C55" s="339"/>
      <c r="D55" s="47" t="s">
        <v>401</v>
      </c>
      <c r="E55" s="353"/>
      <c r="F55" s="355">
        <v>150.66</v>
      </c>
      <c r="G55" s="355"/>
      <c r="H55" s="355"/>
      <c r="I55" s="355"/>
      <c r="J55" s="355">
        <f>L54</f>
        <v>17.82</v>
      </c>
      <c r="K55" s="355"/>
      <c r="L55" s="358">
        <f t="shared" si="3"/>
        <v>2684.76</v>
      </c>
      <c r="M55" s="384"/>
    </row>
    <row r="56" spans="1:12" s="326" customFormat="1" ht="117" customHeight="1">
      <c r="A56" s="47" t="s">
        <v>566</v>
      </c>
      <c r="B56" s="337" t="s">
        <v>568</v>
      </c>
      <c r="C56" s="337"/>
      <c r="D56" s="47" t="s">
        <v>484</v>
      </c>
      <c r="E56" s="353"/>
      <c r="F56" s="355"/>
      <c r="G56" s="355">
        <f>L22</f>
        <v>356.4</v>
      </c>
      <c r="H56" s="355"/>
      <c r="I56" s="355">
        <v>0.04</v>
      </c>
      <c r="J56" s="355"/>
      <c r="K56" s="355"/>
      <c r="L56" s="358">
        <f t="shared" si="3"/>
        <v>14.26</v>
      </c>
    </row>
    <row r="57" spans="1:12" ht="60" customHeight="1">
      <c r="A57" s="47" t="s">
        <v>569</v>
      </c>
      <c r="B57" s="339" t="s">
        <v>565</v>
      </c>
      <c r="C57" s="339"/>
      <c r="D57" s="47" t="s">
        <v>401</v>
      </c>
      <c r="E57" s="353"/>
      <c r="F57" s="355">
        <v>108</v>
      </c>
      <c r="G57" s="355"/>
      <c r="H57" s="355"/>
      <c r="I57" s="355"/>
      <c r="J57" s="355">
        <f>L56</f>
        <v>14.26</v>
      </c>
      <c r="K57" s="355"/>
      <c r="L57" s="358">
        <f t="shared" si="3"/>
        <v>1540.08</v>
      </c>
    </row>
    <row r="58" spans="1:12" ht="60" customHeight="1">
      <c r="A58" s="47" t="s">
        <v>570</v>
      </c>
      <c r="B58" s="339" t="s">
        <v>572</v>
      </c>
      <c r="C58" s="339"/>
      <c r="D58" s="47" t="s">
        <v>495</v>
      </c>
      <c r="E58" s="353"/>
      <c r="F58" s="355"/>
      <c r="G58" s="355">
        <v>240</v>
      </c>
      <c r="H58" s="355"/>
      <c r="I58" s="355"/>
      <c r="J58" s="355"/>
      <c r="K58" s="355"/>
      <c r="L58" s="358">
        <f t="shared" si="3"/>
        <v>240</v>
      </c>
    </row>
    <row r="59" spans="1:12" ht="105" customHeight="1">
      <c r="A59" s="47" t="s">
        <v>573</v>
      </c>
      <c r="B59" s="339" t="s">
        <v>575</v>
      </c>
      <c r="C59" s="339"/>
      <c r="D59" s="47" t="s">
        <v>495</v>
      </c>
      <c r="E59" s="353"/>
      <c r="F59" s="355">
        <v>2</v>
      </c>
      <c r="G59" s="355">
        <v>280</v>
      </c>
      <c r="H59" s="355"/>
      <c r="I59" s="355"/>
      <c r="J59" s="355"/>
      <c r="K59" s="355"/>
      <c r="L59" s="358">
        <f t="shared" si="3"/>
        <v>560</v>
      </c>
    </row>
    <row r="60" spans="1:12" ht="96.75" customHeight="1">
      <c r="A60" s="47" t="s">
        <v>576</v>
      </c>
      <c r="B60" s="339" t="s">
        <v>578</v>
      </c>
      <c r="C60" s="339"/>
      <c r="D60" s="47" t="s">
        <v>466</v>
      </c>
      <c r="E60" s="353"/>
      <c r="F60" s="355">
        <v>2</v>
      </c>
      <c r="G60" s="355">
        <v>100</v>
      </c>
      <c r="H60" s="355">
        <v>1</v>
      </c>
      <c r="I60" s="355"/>
      <c r="J60" s="355"/>
      <c r="K60" s="355"/>
      <c r="L60" s="358">
        <f>PRODUCT(F60:K60)</f>
        <v>200</v>
      </c>
    </row>
    <row r="61" spans="1:12" ht="105" customHeight="1">
      <c r="A61" s="47" t="s">
        <v>579</v>
      </c>
      <c r="B61" s="339" t="s">
        <v>581</v>
      </c>
      <c r="C61" s="339"/>
      <c r="D61" s="47" t="s">
        <v>466</v>
      </c>
      <c r="E61" s="353"/>
      <c r="F61" s="355">
        <v>2</v>
      </c>
      <c r="G61" s="355">
        <v>100</v>
      </c>
      <c r="H61" s="355">
        <v>1</v>
      </c>
      <c r="I61" s="355"/>
      <c r="J61" s="355"/>
      <c r="K61" s="355"/>
      <c r="L61" s="358">
        <f>ROUND(PRODUCT(F61:K61),2)</f>
        <v>200</v>
      </c>
    </row>
    <row r="62" spans="1:12" ht="69.75" customHeight="1">
      <c r="A62" s="47" t="s">
        <v>582</v>
      </c>
      <c r="B62" s="360" t="s">
        <v>584</v>
      </c>
      <c r="C62" s="360"/>
      <c r="D62" s="47" t="s">
        <v>495</v>
      </c>
      <c r="E62" s="353"/>
      <c r="F62" s="355">
        <v>2</v>
      </c>
      <c r="G62" s="355">
        <v>160</v>
      </c>
      <c r="H62" s="355"/>
      <c r="I62" s="355"/>
      <c r="J62" s="355"/>
      <c r="K62" s="355"/>
      <c r="L62" s="358">
        <f>ROUND(PRODUCT(F62:K62),2)</f>
        <v>320</v>
      </c>
    </row>
    <row r="63" spans="1:12" ht="31.5" customHeight="1">
      <c r="A63" s="27" t="s">
        <v>446</v>
      </c>
      <c r="B63" s="349" t="s">
        <v>586</v>
      </c>
      <c r="C63" s="349"/>
      <c r="D63" s="349"/>
      <c r="E63" s="349"/>
      <c r="F63" s="349"/>
      <c r="G63" s="349"/>
      <c r="H63" s="349"/>
      <c r="I63" s="349"/>
      <c r="J63" s="349"/>
      <c r="K63" s="349"/>
      <c r="L63" s="333"/>
    </row>
    <row r="64" spans="1:12" ht="57" customHeight="1">
      <c r="A64" s="333" t="s">
        <v>2</v>
      </c>
      <c r="B64" s="333" t="s">
        <v>628</v>
      </c>
      <c r="C64" s="333"/>
      <c r="D64" s="333" t="s">
        <v>629</v>
      </c>
      <c r="E64" s="333" t="s">
        <v>630</v>
      </c>
      <c r="F64" s="333" t="s">
        <v>631</v>
      </c>
      <c r="G64" s="333" t="s">
        <v>632</v>
      </c>
      <c r="H64" s="333" t="s">
        <v>633</v>
      </c>
      <c r="I64" s="333" t="s">
        <v>634</v>
      </c>
      <c r="J64" s="333" t="s">
        <v>635</v>
      </c>
      <c r="K64" s="333" t="s">
        <v>636</v>
      </c>
      <c r="L64" s="333" t="s">
        <v>238</v>
      </c>
    </row>
    <row r="65" spans="1:12" ht="39.75" customHeight="1">
      <c r="A65" s="47" t="s">
        <v>155</v>
      </c>
      <c r="B65" s="54" t="s">
        <v>588</v>
      </c>
      <c r="C65" s="54"/>
      <c r="D65" s="389" t="s">
        <v>478</v>
      </c>
      <c r="E65" s="390"/>
      <c r="F65" s="389">
        <v>20</v>
      </c>
      <c r="G65" s="389"/>
      <c r="H65" s="389"/>
      <c r="I65" s="389"/>
      <c r="J65" s="389"/>
      <c r="K65" s="389"/>
      <c r="L65" s="367">
        <f aca="true" t="shared" si="4" ref="L65:L75">ROUND(PRODUCT(F65:K65),2)</f>
        <v>20</v>
      </c>
    </row>
    <row r="66" spans="1:12" ht="51" customHeight="1">
      <c r="A66" s="47" t="s">
        <v>158</v>
      </c>
      <c r="B66" s="54" t="s">
        <v>591</v>
      </c>
      <c r="C66" s="54" t="s">
        <v>591</v>
      </c>
      <c r="D66" s="389" t="s">
        <v>478</v>
      </c>
      <c r="E66" s="390"/>
      <c r="F66" s="389">
        <v>10</v>
      </c>
      <c r="G66" s="389"/>
      <c r="H66" s="389"/>
      <c r="I66" s="389"/>
      <c r="J66" s="389"/>
      <c r="K66" s="389"/>
      <c r="L66" s="367">
        <f t="shared" si="4"/>
        <v>10</v>
      </c>
    </row>
    <row r="67" spans="1:12" ht="51.75" customHeight="1">
      <c r="A67" s="391" t="s">
        <v>161</v>
      </c>
      <c r="B67" s="54" t="s">
        <v>593</v>
      </c>
      <c r="C67" s="54" t="s">
        <v>593</v>
      </c>
      <c r="D67" s="389" t="s">
        <v>478</v>
      </c>
      <c r="E67" s="389"/>
      <c r="F67" s="389">
        <v>10</v>
      </c>
      <c r="G67" s="389"/>
      <c r="H67" s="389"/>
      <c r="I67" s="389"/>
      <c r="J67" s="389"/>
      <c r="K67" s="389"/>
      <c r="L67" s="367">
        <f t="shared" si="4"/>
        <v>10</v>
      </c>
    </row>
    <row r="68" spans="1:12" ht="84" customHeight="1">
      <c r="A68" s="47" t="s">
        <v>164</v>
      </c>
      <c r="B68" s="54" t="s">
        <v>595</v>
      </c>
      <c r="C68" s="54" t="s">
        <v>595</v>
      </c>
      <c r="D68" s="389" t="s">
        <v>478</v>
      </c>
      <c r="E68" s="389"/>
      <c r="F68" s="389">
        <v>10</v>
      </c>
      <c r="G68" s="389"/>
      <c r="H68" s="389"/>
      <c r="I68" s="389"/>
      <c r="J68" s="389"/>
      <c r="K68" s="389"/>
      <c r="L68" s="367">
        <f t="shared" si="4"/>
        <v>10</v>
      </c>
    </row>
    <row r="69" spans="1:12" ht="84.75" customHeight="1">
      <c r="A69" s="47" t="s">
        <v>167</v>
      </c>
      <c r="B69" s="54" t="s">
        <v>597</v>
      </c>
      <c r="C69" s="54" t="s">
        <v>597</v>
      </c>
      <c r="D69" s="389" t="s">
        <v>478</v>
      </c>
      <c r="E69" s="389"/>
      <c r="F69" s="389">
        <v>10</v>
      </c>
      <c r="G69" s="389"/>
      <c r="H69" s="389"/>
      <c r="I69" s="389"/>
      <c r="J69" s="389"/>
      <c r="K69" s="389"/>
      <c r="L69" s="367">
        <f t="shared" si="4"/>
        <v>10</v>
      </c>
    </row>
    <row r="70" spans="1:12" ht="87.75" customHeight="1">
      <c r="A70" s="391" t="s">
        <v>170</v>
      </c>
      <c r="B70" s="54" t="s">
        <v>599</v>
      </c>
      <c r="C70" s="54" t="s">
        <v>599</v>
      </c>
      <c r="D70" s="47" t="s">
        <v>495</v>
      </c>
      <c r="E70" s="389"/>
      <c r="F70" s="47"/>
      <c r="G70" s="389">
        <v>10</v>
      </c>
      <c r="H70" s="389"/>
      <c r="I70" s="389"/>
      <c r="J70" s="389"/>
      <c r="K70" s="389"/>
      <c r="L70" s="367">
        <f t="shared" si="4"/>
        <v>10</v>
      </c>
    </row>
    <row r="71" spans="1:12" ht="84.75" customHeight="1">
      <c r="A71" s="391" t="s">
        <v>173</v>
      </c>
      <c r="B71" s="54" t="s">
        <v>601</v>
      </c>
      <c r="C71" s="54"/>
      <c r="D71" s="47" t="s">
        <v>495</v>
      </c>
      <c r="E71" s="389"/>
      <c r="F71" s="47"/>
      <c r="G71" s="389">
        <v>30</v>
      </c>
      <c r="H71" s="389"/>
      <c r="I71" s="389"/>
      <c r="J71" s="389"/>
      <c r="K71" s="389"/>
      <c r="L71" s="367">
        <f t="shared" si="4"/>
        <v>30</v>
      </c>
    </row>
    <row r="72" spans="1:12" ht="78.75" customHeight="1">
      <c r="A72" s="391" t="s">
        <v>176</v>
      </c>
      <c r="B72" s="54" t="s">
        <v>603</v>
      </c>
      <c r="C72" s="54"/>
      <c r="D72" s="47" t="s">
        <v>495</v>
      </c>
      <c r="E72" s="389"/>
      <c r="F72" s="47"/>
      <c r="G72" s="389">
        <v>30</v>
      </c>
      <c r="H72" s="389"/>
      <c r="I72" s="389"/>
      <c r="J72" s="389"/>
      <c r="K72" s="389"/>
      <c r="L72" s="367">
        <f t="shared" si="4"/>
        <v>30</v>
      </c>
    </row>
    <row r="73" spans="1:12" ht="78" customHeight="1">
      <c r="A73" s="391" t="s">
        <v>179</v>
      </c>
      <c r="B73" s="54" t="s">
        <v>605</v>
      </c>
      <c r="C73" s="54"/>
      <c r="D73" s="47" t="s">
        <v>495</v>
      </c>
      <c r="E73" s="389"/>
      <c r="F73" s="47"/>
      <c r="G73" s="389">
        <v>40</v>
      </c>
      <c r="H73" s="389"/>
      <c r="I73" s="389"/>
      <c r="J73" s="389"/>
      <c r="K73" s="389"/>
      <c r="L73" s="367">
        <f t="shared" si="4"/>
        <v>40</v>
      </c>
    </row>
    <row r="74" spans="1:12" ht="84" customHeight="1">
      <c r="A74" s="391" t="s">
        <v>182</v>
      </c>
      <c r="B74" s="54" t="s">
        <v>607</v>
      </c>
      <c r="C74" s="54"/>
      <c r="D74" s="47" t="s">
        <v>495</v>
      </c>
      <c r="E74" s="389"/>
      <c r="F74" s="47"/>
      <c r="G74" s="389">
        <v>30</v>
      </c>
      <c r="H74" s="389"/>
      <c r="I74" s="389"/>
      <c r="J74" s="389"/>
      <c r="K74" s="389"/>
      <c r="L74" s="367">
        <f t="shared" si="4"/>
        <v>30</v>
      </c>
    </row>
    <row r="75" spans="1:12" ht="66.75" customHeight="1">
      <c r="A75" s="391" t="s">
        <v>185</v>
      </c>
      <c r="B75" s="54" t="s">
        <v>609</v>
      </c>
      <c r="C75" s="54" t="s">
        <v>658</v>
      </c>
      <c r="D75" s="47" t="s">
        <v>495</v>
      </c>
      <c r="E75" s="389"/>
      <c r="F75" s="47"/>
      <c r="G75" s="389">
        <v>60</v>
      </c>
      <c r="H75" s="389"/>
      <c r="I75" s="389"/>
      <c r="J75" s="389"/>
      <c r="K75" s="389"/>
      <c r="L75" s="367">
        <f t="shared" si="4"/>
        <v>60</v>
      </c>
    </row>
    <row r="76" spans="1:12" ht="70.5" customHeight="1">
      <c r="A76" s="391" t="s">
        <v>188</v>
      </c>
      <c r="B76" s="54" t="s">
        <v>611</v>
      </c>
      <c r="C76" s="54" t="s">
        <v>659</v>
      </c>
      <c r="D76" s="47" t="s">
        <v>495</v>
      </c>
      <c r="E76" s="389"/>
      <c r="F76" s="47"/>
      <c r="G76" s="389">
        <v>30</v>
      </c>
      <c r="H76" s="389"/>
      <c r="I76" s="389"/>
      <c r="J76" s="389"/>
      <c r="K76" s="389"/>
      <c r="L76" s="367">
        <f aca="true" t="shared" si="5" ref="L76:L80">ROUND(PRODUCT(E76:K76),2)</f>
        <v>30</v>
      </c>
    </row>
    <row r="77" spans="1:12" ht="19.5" customHeight="1">
      <c r="A77" s="333" t="s">
        <v>447</v>
      </c>
      <c r="B77" s="349" t="s">
        <v>613</v>
      </c>
      <c r="C77" s="349"/>
      <c r="D77" s="349"/>
      <c r="E77" s="349"/>
      <c r="F77" s="349"/>
      <c r="G77" s="349"/>
      <c r="H77" s="349"/>
      <c r="I77" s="349"/>
      <c r="J77" s="349"/>
      <c r="K77" s="349"/>
      <c r="L77" s="333"/>
    </row>
    <row r="78" spans="1:12" ht="51" customHeight="1">
      <c r="A78" s="333" t="s">
        <v>2</v>
      </c>
      <c r="B78" s="333" t="s">
        <v>628</v>
      </c>
      <c r="C78" s="333"/>
      <c r="D78" s="333" t="s">
        <v>629</v>
      </c>
      <c r="E78" s="392" t="s">
        <v>660</v>
      </c>
      <c r="F78" s="392" t="s">
        <v>631</v>
      </c>
      <c r="G78" s="333" t="s">
        <v>661</v>
      </c>
      <c r="H78" s="333" t="s">
        <v>662</v>
      </c>
      <c r="I78" s="333" t="s">
        <v>663</v>
      </c>
      <c r="J78" s="333" t="s">
        <v>664</v>
      </c>
      <c r="K78" s="333" t="s">
        <v>636</v>
      </c>
      <c r="L78" s="333" t="s">
        <v>238</v>
      </c>
    </row>
    <row r="79" spans="1:18" ht="48" customHeight="1">
      <c r="A79" s="45" t="s">
        <v>227</v>
      </c>
      <c r="B79" s="59" t="s">
        <v>665</v>
      </c>
      <c r="C79" s="59"/>
      <c r="D79" s="393" t="s">
        <v>616</v>
      </c>
      <c r="E79" s="355">
        <v>8</v>
      </c>
      <c r="F79" s="394"/>
      <c r="G79" s="395"/>
      <c r="H79" s="219"/>
      <c r="I79" s="219"/>
      <c r="J79" s="219">
        <v>150</v>
      </c>
      <c r="K79" s="219"/>
      <c r="L79" s="358">
        <f t="shared" si="5"/>
        <v>1200</v>
      </c>
      <c r="M79" s="374" t="s">
        <v>666</v>
      </c>
      <c r="N79" s="374"/>
      <c r="O79" s="374"/>
      <c r="P79" s="374"/>
      <c r="Q79" s="374"/>
      <c r="R79" s="374"/>
    </row>
    <row r="80" spans="1:18" ht="75.75" customHeight="1">
      <c r="A80" s="45" t="s">
        <v>231</v>
      </c>
      <c r="B80" s="396" t="s">
        <v>667</v>
      </c>
      <c r="C80" s="396"/>
      <c r="D80" s="393" t="s">
        <v>616</v>
      </c>
      <c r="E80" s="355">
        <v>8</v>
      </c>
      <c r="F80" s="394"/>
      <c r="G80" s="395"/>
      <c r="H80" s="219"/>
      <c r="I80" s="219"/>
      <c r="J80" s="219">
        <v>150</v>
      </c>
      <c r="K80" s="219"/>
      <c r="L80" s="358">
        <f t="shared" si="5"/>
        <v>1200</v>
      </c>
      <c r="M80" s="374" t="s">
        <v>668</v>
      </c>
      <c r="N80" s="374"/>
      <c r="O80" s="374"/>
      <c r="P80" s="374"/>
      <c r="Q80" s="374"/>
      <c r="R80" s="374"/>
    </row>
    <row r="81" spans="13:18" ht="15.75">
      <c r="M81" s="374"/>
      <c r="N81" s="374"/>
      <c r="O81" s="374"/>
      <c r="P81" s="374"/>
      <c r="Q81" s="374"/>
      <c r="R81" s="374"/>
    </row>
  </sheetData>
  <sheetProtection selectLockedCells="1" selectUnlockedCells="1"/>
  <mergeCells count="89">
    <mergeCell ref="A1:L1"/>
    <mergeCell ref="A2:L2"/>
    <mergeCell ref="A3:L3"/>
    <mergeCell ref="A4:B4"/>
    <mergeCell ref="C4:L4"/>
    <mergeCell ref="A5:B5"/>
    <mergeCell ref="C5:L5"/>
    <mergeCell ref="A6:B6"/>
    <mergeCell ref="C6:L6"/>
    <mergeCell ref="A7:L7"/>
    <mergeCell ref="O7:Q7"/>
    <mergeCell ref="R7:S7"/>
    <mergeCell ref="T7:U7"/>
    <mergeCell ref="B8:C8"/>
    <mergeCell ref="B9:L9"/>
    <mergeCell ref="B10:C10"/>
    <mergeCell ref="N10:O10"/>
    <mergeCell ref="P10:Q10"/>
    <mergeCell ref="R10:U10"/>
    <mergeCell ref="B11:L11"/>
    <mergeCell ref="B12:C12"/>
    <mergeCell ref="B13:C13"/>
    <mergeCell ref="B14:C14"/>
    <mergeCell ref="B15:C15"/>
    <mergeCell ref="B16:C16"/>
    <mergeCell ref="B17:L17"/>
    <mergeCell ref="B18:C18"/>
    <mergeCell ref="B19:C19"/>
    <mergeCell ref="B20:C20"/>
    <mergeCell ref="B21:C21"/>
    <mergeCell ref="B22:C22"/>
    <mergeCell ref="B23:C23"/>
    <mergeCell ref="B24:C24"/>
    <mergeCell ref="B25:C25"/>
    <mergeCell ref="B26:L26"/>
    <mergeCell ref="B27:C27"/>
    <mergeCell ref="B28:C28"/>
    <mergeCell ref="B29:C29"/>
    <mergeCell ref="B30:C30"/>
    <mergeCell ref="B31:C31"/>
    <mergeCell ref="B32:C32"/>
    <mergeCell ref="B33:C33"/>
    <mergeCell ref="B34:C34"/>
    <mergeCell ref="B35:C35"/>
    <mergeCell ref="B36:C36"/>
    <mergeCell ref="B37:C37"/>
    <mergeCell ref="B38:L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L63"/>
    <mergeCell ref="B64:C64"/>
    <mergeCell ref="B65:C65"/>
    <mergeCell ref="B66:C66"/>
    <mergeCell ref="B67:C67"/>
    <mergeCell ref="B68:C68"/>
    <mergeCell ref="B69:C69"/>
    <mergeCell ref="B70:C70"/>
    <mergeCell ref="B71:C71"/>
    <mergeCell ref="B72:C72"/>
    <mergeCell ref="B73:C73"/>
    <mergeCell ref="B74:C74"/>
    <mergeCell ref="B75:C75"/>
    <mergeCell ref="B76:C76"/>
    <mergeCell ref="B77:L77"/>
    <mergeCell ref="B78:C78"/>
    <mergeCell ref="B79:C79"/>
    <mergeCell ref="B80:C80"/>
  </mergeCells>
  <printOptions horizontalCentered="1"/>
  <pageMargins left="0" right="0" top="0" bottom="0" header="0.5118055555555555" footer="0.5118055555555555"/>
  <pageSetup horizontalDpi="300" verticalDpi="300" orientation="portrait" paperSize="9" scale="52"/>
  <rowBreaks count="2" manualBreakCount="2">
    <brk id="33" max="255" man="1"/>
    <brk id="53" max="255" man="1"/>
  </rowBreaks>
  <drawing r:id="rId1"/>
</worksheet>
</file>

<file path=xl/worksheets/sheet11.xml><?xml version="1.0" encoding="utf-8"?>
<worksheet xmlns="http://schemas.openxmlformats.org/spreadsheetml/2006/main" xmlns:r="http://schemas.openxmlformats.org/officeDocument/2006/relationships">
  <dimension ref="A1:V47"/>
  <sheetViews>
    <sheetView showGridLines="0" view="pageBreakPreview" zoomScale="89" zoomScaleSheetLayoutView="89" workbookViewId="0" topLeftCell="D12">
      <selection activeCell="A21" sqref="A21:O21"/>
    </sheetView>
  </sheetViews>
  <sheetFormatPr defaultColWidth="9.140625" defaultRowHeight="15"/>
  <cols>
    <col min="1" max="1" width="9.140625" style="288" bestFit="1" customWidth="1"/>
    <col min="2" max="2" width="35.421875" style="288" bestFit="1" customWidth="1"/>
    <col min="3" max="3" width="17.00390625" style="288" bestFit="1" customWidth="1"/>
    <col min="4" max="5" width="12.8515625" style="288" bestFit="1" customWidth="1"/>
    <col min="6" max="6" width="13.00390625" style="288" bestFit="1" customWidth="1"/>
    <col min="7" max="8" width="14.00390625" style="288" bestFit="1" customWidth="1"/>
    <col min="9" max="10" width="14.7109375" style="288" bestFit="1" customWidth="1"/>
    <col min="11" max="11" width="15.421875" style="288" bestFit="1" customWidth="1"/>
    <col min="12" max="12" width="15.140625" style="288" bestFit="1" customWidth="1"/>
    <col min="13" max="13" width="15.00390625" style="288" bestFit="1" customWidth="1"/>
    <col min="14" max="15" width="14.7109375" style="288" bestFit="1" customWidth="1"/>
    <col min="16" max="16" width="1.8515625" style="288" bestFit="1" customWidth="1"/>
    <col min="17" max="17" width="16.7109375" style="288" bestFit="1" customWidth="1"/>
    <col min="18" max="18" width="9.140625" style="288" bestFit="1" customWidth="1"/>
    <col min="19" max="19" width="16.421875" style="288" bestFit="1" customWidth="1"/>
    <col min="20" max="16384" width="9.140625" style="288" bestFit="1" customWidth="1"/>
  </cols>
  <sheetData>
    <row r="1" spans="1:19" s="283" customFormat="1" ht="69" customHeight="1">
      <c r="A1" s="289"/>
      <c r="B1" s="290"/>
      <c r="C1" s="290"/>
      <c r="D1" s="290"/>
      <c r="E1" s="291"/>
      <c r="F1" s="292"/>
      <c r="G1" s="292"/>
      <c r="H1" s="293"/>
      <c r="I1" s="293"/>
      <c r="J1" s="293"/>
      <c r="K1" s="293"/>
      <c r="L1" s="293"/>
      <c r="M1" s="293"/>
      <c r="N1" s="293"/>
      <c r="O1" s="315"/>
      <c r="P1" s="316"/>
      <c r="Q1" s="316"/>
      <c r="R1" s="316"/>
      <c r="S1" s="316"/>
    </row>
    <row r="2" spans="1:19" s="284" customFormat="1" ht="30" customHeight="1">
      <c r="A2" s="294" t="s">
        <v>669</v>
      </c>
      <c r="B2" s="294"/>
      <c r="C2" s="294"/>
      <c r="D2" s="294"/>
      <c r="E2" s="294"/>
      <c r="F2" s="294"/>
      <c r="G2" s="294"/>
      <c r="H2" s="294"/>
      <c r="I2" s="294"/>
      <c r="J2" s="294"/>
      <c r="K2" s="294"/>
      <c r="L2" s="294"/>
      <c r="M2" s="294"/>
      <c r="N2" s="294"/>
      <c r="O2" s="294"/>
      <c r="P2" s="316"/>
      <c r="Q2" s="142"/>
      <c r="R2" s="142"/>
      <c r="S2" s="142"/>
    </row>
    <row r="3" spans="1:19" s="284" customFormat="1" ht="49.5" customHeight="1">
      <c r="A3" s="19" t="s">
        <v>450</v>
      </c>
      <c r="B3" s="19"/>
      <c r="C3" s="19"/>
      <c r="D3" s="19"/>
      <c r="E3" s="19"/>
      <c r="F3" s="19"/>
      <c r="G3" s="19"/>
      <c r="H3" s="19"/>
      <c r="I3" s="19"/>
      <c r="J3" s="19"/>
      <c r="K3" s="19"/>
      <c r="L3" s="19"/>
      <c r="M3" s="19"/>
      <c r="N3" s="19"/>
      <c r="O3" s="19"/>
      <c r="P3" s="316"/>
      <c r="Q3" s="142"/>
      <c r="R3" s="142"/>
      <c r="S3" s="142"/>
    </row>
    <row r="4" spans="1:19" s="285" customFormat="1" ht="45" customHeight="1">
      <c r="A4" s="20" t="s">
        <v>670</v>
      </c>
      <c r="B4" s="20"/>
      <c r="C4" s="295" t="s">
        <v>438</v>
      </c>
      <c r="D4" s="295"/>
      <c r="E4" s="295"/>
      <c r="F4" s="295"/>
      <c r="G4" s="295"/>
      <c r="H4" s="295"/>
      <c r="I4" s="295"/>
      <c r="J4" s="295"/>
      <c r="K4" s="295"/>
      <c r="L4" s="295"/>
      <c r="M4" s="295"/>
      <c r="N4" s="295"/>
      <c r="O4" s="295"/>
      <c r="P4" s="317"/>
      <c r="Q4" s="321"/>
      <c r="R4" s="2"/>
      <c r="S4" s="2"/>
    </row>
    <row r="5" spans="1:19" s="99" customFormat="1" ht="31.5" customHeight="1">
      <c r="A5" s="296" t="s">
        <v>671</v>
      </c>
      <c r="B5" s="296"/>
      <c r="C5" s="297" t="s">
        <v>622</v>
      </c>
      <c r="D5" s="297"/>
      <c r="E5" s="297"/>
      <c r="F5" s="297"/>
      <c r="G5" s="297"/>
      <c r="H5" s="297"/>
      <c r="I5" s="297"/>
      <c r="J5" s="297"/>
      <c r="K5" s="297"/>
      <c r="L5" s="297"/>
      <c r="M5" s="297"/>
      <c r="N5" s="297"/>
      <c r="O5" s="297"/>
      <c r="P5" s="317"/>
      <c r="Q5" s="142"/>
      <c r="R5" s="142"/>
      <c r="S5" s="142"/>
    </row>
    <row r="6" spans="1:19" s="284" customFormat="1" ht="43.5" customHeight="1">
      <c r="A6" s="298" t="s">
        <v>672</v>
      </c>
      <c r="B6" s="298"/>
      <c r="C6" s="298"/>
      <c r="D6" s="298"/>
      <c r="E6" s="298"/>
      <c r="F6" s="298"/>
      <c r="G6" s="298"/>
      <c r="H6" s="298"/>
      <c r="I6" s="298"/>
      <c r="J6" s="298"/>
      <c r="K6" s="298"/>
      <c r="L6" s="298"/>
      <c r="M6" s="298"/>
      <c r="N6" s="298"/>
      <c r="O6" s="298"/>
      <c r="P6" s="318"/>
      <c r="Q6" s="318"/>
      <c r="R6" s="318"/>
      <c r="S6" s="318"/>
    </row>
    <row r="7" spans="1:19" ht="25.5" customHeight="1">
      <c r="A7" s="299" t="s">
        <v>2</v>
      </c>
      <c r="B7" s="299" t="s">
        <v>4</v>
      </c>
      <c r="C7" s="299" t="s">
        <v>8</v>
      </c>
      <c r="D7" s="299" t="s">
        <v>673</v>
      </c>
      <c r="E7" s="299"/>
      <c r="F7" s="299"/>
      <c r="G7" s="299"/>
      <c r="H7" s="299"/>
      <c r="I7" s="299"/>
      <c r="J7" s="299"/>
      <c r="K7" s="299"/>
      <c r="L7" s="299"/>
      <c r="M7" s="299"/>
      <c r="N7" s="299"/>
      <c r="O7" s="299"/>
      <c r="P7" s="142"/>
      <c r="Q7" s="142"/>
      <c r="R7" s="142"/>
      <c r="S7" s="142"/>
    </row>
    <row r="8" spans="1:19" ht="25.5" customHeight="1">
      <c r="A8" s="299"/>
      <c r="B8" s="299"/>
      <c r="C8" s="299"/>
      <c r="D8" s="296" t="s">
        <v>674</v>
      </c>
      <c r="E8" s="296" t="s">
        <v>675</v>
      </c>
      <c r="F8" s="296" t="s">
        <v>676</v>
      </c>
      <c r="G8" s="296" t="s">
        <v>677</v>
      </c>
      <c r="H8" s="296" t="s">
        <v>678</v>
      </c>
      <c r="I8" s="296" t="s">
        <v>679</v>
      </c>
      <c r="J8" s="296" t="s">
        <v>680</v>
      </c>
      <c r="K8" s="296" t="s">
        <v>681</v>
      </c>
      <c r="L8" s="296" t="s">
        <v>682</v>
      </c>
      <c r="M8" s="296" t="s">
        <v>683</v>
      </c>
      <c r="N8" s="296" t="s">
        <v>684</v>
      </c>
      <c r="O8" s="296" t="s">
        <v>685</v>
      </c>
      <c r="P8" s="142"/>
      <c r="Q8" s="322"/>
      <c r="R8" s="142"/>
      <c r="S8" s="142"/>
    </row>
    <row r="9" spans="1:19" ht="35.25" customHeight="1">
      <c r="A9" s="300" t="s">
        <v>441</v>
      </c>
      <c r="B9" s="301" t="str">
        <f>RESUMO!C9</f>
        <v>ADMINISTRAÇÃO LOCAL (MÊS)</v>
      </c>
      <c r="C9" s="302">
        <f>RESUMO!E10</f>
        <v>283594.32</v>
      </c>
      <c r="D9" s="302">
        <f aca="true" t="shared" si="0" ref="D9:D15">C9/12</f>
        <v>23632.86</v>
      </c>
      <c r="E9" s="302">
        <f aca="true" t="shared" si="1" ref="E9:E15">C9/12</f>
        <v>23632.86</v>
      </c>
      <c r="F9" s="302">
        <f aca="true" t="shared" si="2" ref="F9:F15">C9/12</f>
        <v>23632.86</v>
      </c>
      <c r="G9" s="302">
        <f aca="true" t="shared" si="3" ref="G9:G15">C9/12</f>
        <v>23632.86</v>
      </c>
      <c r="H9" s="302">
        <f aca="true" t="shared" si="4" ref="H9:H15">C9/12</f>
        <v>23632.86</v>
      </c>
      <c r="I9" s="302">
        <f aca="true" t="shared" si="5" ref="I9:I15">C9/12</f>
        <v>23632.86</v>
      </c>
      <c r="J9" s="302">
        <f aca="true" t="shared" si="6" ref="J9:J15">C9/12</f>
        <v>23632.86</v>
      </c>
      <c r="K9" s="302">
        <f aca="true" t="shared" si="7" ref="K9:K15">C9/12</f>
        <v>23632.86</v>
      </c>
      <c r="L9" s="302">
        <f aca="true" t="shared" si="8" ref="L9:L15">C9/12</f>
        <v>23632.86</v>
      </c>
      <c r="M9" s="302">
        <f aca="true" t="shared" si="9" ref="M9:M15">C9/12</f>
        <v>23632.86</v>
      </c>
      <c r="N9" s="302">
        <f aca="true" t="shared" si="10" ref="N9:N15">C9/12</f>
        <v>23632.86</v>
      </c>
      <c r="O9" s="302">
        <f aca="true" t="shared" si="11" ref="O9:O15">C9/12</f>
        <v>23632.86</v>
      </c>
      <c r="P9" s="142"/>
      <c r="Q9" s="322"/>
      <c r="R9" s="142"/>
      <c r="S9" s="142"/>
    </row>
    <row r="10" spans="1:19" ht="35.25" customHeight="1">
      <c r="A10" s="300" t="s">
        <v>442</v>
      </c>
      <c r="B10" s="301" t="str">
        <f>RESUMO!C12</f>
        <v>INSTALAÇÕES PROVISÓRIAS</v>
      </c>
      <c r="C10" s="302">
        <f>RESUMO!E13</f>
        <v>44420.24</v>
      </c>
      <c r="D10" s="302">
        <f t="shared" si="0"/>
        <v>3701.6866666666665</v>
      </c>
      <c r="E10" s="302">
        <f t="shared" si="1"/>
        <v>3701.6866666666665</v>
      </c>
      <c r="F10" s="302">
        <f t="shared" si="2"/>
        <v>3701.6866666666665</v>
      </c>
      <c r="G10" s="302">
        <f t="shared" si="3"/>
        <v>3701.6866666666665</v>
      </c>
      <c r="H10" s="302">
        <f t="shared" si="4"/>
        <v>3701.6866666666665</v>
      </c>
      <c r="I10" s="302">
        <f t="shared" si="5"/>
        <v>3701.6866666666665</v>
      </c>
      <c r="J10" s="302">
        <f t="shared" si="6"/>
        <v>3701.6866666666665</v>
      </c>
      <c r="K10" s="302">
        <f t="shared" si="7"/>
        <v>3701.6866666666665</v>
      </c>
      <c r="L10" s="302">
        <f t="shared" si="8"/>
        <v>3701.6866666666665</v>
      </c>
      <c r="M10" s="302">
        <f t="shared" si="9"/>
        <v>3701.6866666666665</v>
      </c>
      <c r="N10" s="302">
        <f t="shared" si="10"/>
        <v>3701.6866666666665</v>
      </c>
      <c r="O10" s="302">
        <f t="shared" si="11"/>
        <v>3701.6866666666665</v>
      </c>
      <c r="P10" s="142"/>
      <c r="Q10" s="322"/>
      <c r="R10" s="142"/>
      <c r="S10" s="142"/>
    </row>
    <row r="11" spans="1:19" ht="35.25" customHeight="1">
      <c r="A11" s="300" t="s">
        <v>443</v>
      </c>
      <c r="B11" s="301" t="str">
        <f>RESUMO!C15</f>
        <v>SERVIÇOS PRELIMINARES</v>
      </c>
      <c r="C11" s="302">
        <f>RESUMO!E16</f>
        <v>344704.63</v>
      </c>
      <c r="D11" s="302">
        <f t="shared" si="0"/>
        <v>28725.385833333334</v>
      </c>
      <c r="E11" s="302">
        <f t="shared" si="1"/>
        <v>28725.385833333334</v>
      </c>
      <c r="F11" s="302">
        <f t="shared" si="2"/>
        <v>28725.385833333334</v>
      </c>
      <c r="G11" s="302">
        <f t="shared" si="3"/>
        <v>28725.385833333334</v>
      </c>
      <c r="H11" s="302">
        <f t="shared" si="4"/>
        <v>28725.385833333334</v>
      </c>
      <c r="I11" s="302">
        <f t="shared" si="5"/>
        <v>28725.385833333334</v>
      </c>
      <c r="J11" s="302">
        <f t="shared" si="6"/>
        <v>28725.385833333334</v>
      </c>
      <c r="K11" s="302">
        <f t="shared" si="7"/>
        <v>28725.385833333334</v>
      </c>
      <c r="L11" s="302">
        <f t="shared" si="8"/>
        <v>28725.385833333334</v>
      </c>
      <c r="M11" s="302">
        <f t="shared" si="9"/>
        <v>28725.385833333334</v>
      </c>
      <c r="N11" s="302">
        <f t="shared" si="10"/>
        <v>28725.385833333334</v>
      </c>
      <c r="O11" s="302">
        <f t="shared" si="11"/>
        <v>28725.385833333334</v>
      </c>
      <c r="P11" s="142"/>
      <c r="Q11" s="322"/>
      <c r="R11" s="142"/>
      <c r="S11" s="142"/>
    </row>
    <row r="12" spans="1:19" ht="35.25" customHeight="1">
      <c r="A12" s="300" t="s">
        <v>444</v>
      </c>
      <c r="B12" s="301" t="str">
        <f>RESUMO!C18</f>
        <v>TRABALHOS EM TERRA</v>
      </c>
      <c r="C12" s="302">
        <f>RESUMO!E19</f>
        <v>1136099.8800000001</v>
      </c>
      <c r="D12" s="302">
        <f t="shared" si="0"/>
        <v>94674.99</v>
      </c>
      <c r="E12" s="302">
        <f t="shared" si="1"/>
        <v>94674.99</v>
      </c>
      <c r="F12" s="302">
        <f t="shared" si="2"/>
        <v>94674.99</v>
      </c>
      <c r="G12" s="302">
        <f t="shared" si="3"/>
        <v>94674.99</v>
      </c>
      <c r="H12" s="302">
        <f t="shared" si="4"/>
        <v>94674.99</v>
      </c>
      <c r="I12" s="302">
        <f t="shared" si="5"/>
        <v>94674.99</v>
      </c>
      <c r="J12" s="302">
        <f t="shared" si="6"/>
        <v>94674.99</v>
      </c>
      <c r="K12" s="302">
        <f t="shared" si="7"/>
        <v>94674.99</v>
      </c>
      <c r="L12" s="302">
        <f t="shared" si="8"/>
        <v>94674.99</v>
      </c>
      <c r="M12" s="302">
        <f t="shared" si="9"/>
        <v>94674.99</v>
      </c>
      <c r="N12" s="302">
        <f t="shared" si="10"/>
        <v>94674.99</v>
      </c>
      <c r="O12" s="302">
        <f t="shared" si="11"/>
        <v>94674.99</v>
      </c>
      <c r="P12" s="142"/>
      <c r="Q12" s="322"/>
      <c r="R12" s="142"/>
      <c r="S12" s="142"/>
    </row>
    <row r="13" spans="1:19" ht="35.25" customHeight="1">
      <c r="A13" s="300" t="s">
        <v>445</v>
      </c>
      <c r="B13" s="301" t="str">
        <f>RESUMO!C21</f>
        <v>REVESTIMENTO DO PAVIMENTO</v>
      </c>
      <c r="C13" s="302">
        <f>RESUMO!E22</f>
        <v>1661261.4500000002</v>
      </c>
      <c r="D13" s="302">
        <f t="shared" si="0"/>
        <v>138438.4541666667</v>
      </c>
      <c r="E13" s="302">
        <f t="shared" si="1"/>
        <v>138438.4541666667</v>
      </c>
      <c r="F13" s="302">
        <f t="shared" si="2"/>
        <v>138438.4541666667</v>
      </c>
      <c r="G13" s="302">
        <f t="shared" si="3"/>
        <v>138438.4541666667</v>
      </c>
      <c r="H13" s="302">
        <f t="shared" si="4"/>
        <v>138438.4541666667</v>
      </c>
      <c r="I13" s="302">
        <f t="shared" si="5"/>
        <v>138438.4541666667</v>
      </c>
      <c r="J13" s="302">
        <f t="shared" si="6"/>
        <v>138438.4541666667</v>
      </c>
      <c r="K13" s="302">
        <f t="shared" si="7"/>
        <v>138438.4541666667</v>
      </c>
      <c r="L13" s="302">
        <f t="shared" si="8"/>
        <v>138438.4541666667</v>
      </c>
      <c r="M13" s="302">
        <f t="shared" si="9"/>
        <v>138438.4541666667</v>
      </c>
      <c r="N13" s="302">
        <f t="shared" si="10"/>
        <v>138438.4541666667</v>
      </c>
      <c r="O13" s="302">
        <f t="shared" si="11"/>
        <v>138438.4541666667</v>
      </c>
      <c r="P13" s="142"/>
      <c r="Q13" s="322"/>
      <c r="R13" s="142"/>
      <c r="S13" s="142"/>
    </row>
    <row r="14" spans="1:19" ht="35.25" customHeight="1">
      <c r="A14" s="300" t="s">
        <v>446</v>
      </c>
      <c r="B14" s="301" t="str">
        <f>RESUMO!C24</f>
        <v>DRENAGEM</v>
      </c>
      <c r="C14" s="302">
        <f>RESUMO!E25</f>
        <v>143294.69999999998</v>
      </c>
      <c r="D14" s="302">
        <f t="shared" si="0"/>
        <v>11941.224999999999</v>
      </c>
      <c r="E14" s="302">
        <f t="shared" si="1"/>
        <v>11941.224999999999</v>
      </c>
      <c r="F14" s="302">
        <f t="shared" si="2"/>
        <v>11941.224999999999</v>
      </c>
      <c r="G14" s="302">
        <f t="shared" si="3"/>
        <v>11941.224999999999</v>
      </c>
      <c r="H14" s="302">
        <f t="shared" si="4"/>
        <v>11941.224999999999</v>
      </c>
      <c r="I14" s="302">
        <f t="shared" si="5"/>
        <v>11941.224999999999</v>
      </c>
      <c r="J14" s="302">
        <f t="shared" si="6"/>
        <v>11941.224999999999</v>
      </c>
      <c r="K14" s="302">
        <f t="shared" si="7"/>
        <v>11941.224999999999</v>
      </c>
      <c r="L14" s="302">
        <f t="shared" si="8"/>
        <v>11941.224999999999</v>
      </c>
      <c r="M14" s="302">
        <f t="shared" si="9"/>
        <v>11941.224999999999</v>
      </c>
      <c r="N14" s="302">
        <f t="shared" si="10"/>
        <v>11941.224999999999</v>
      </c>
      <c r="O14" s="302">
        <f t="shared" si="11"/>
        <v>11941.224999999999</v>
      </c>
      <c r="P14" s="142"/>
      <c r="Q14" s="322"/>
      <c r="R14" s="142"/>
      <c r="S14" s="142"/>
    </row>
    <row r="15" spans="1:19" ht="35.25" customHeight="1">
      <c r="A15" s="300" t="s">
        <v>446</v>
      </c>
      <c r="B15" s="301" t="str">
        <f>RESUMO!C27</f>
        <v>LOCAÇÃO DE EQUIPAMENTO</v>
      </c>
      <c r="C15" s="302">
        <f>RESUMO!E28</f>
        <v>138588</v>
      </c>
      <c r="D15" s="302">
        <f t="shared" si="0"/>
        <v>11549</v>
      </c>
      <c r="E15" s="302">
        <f t="shared" si="1"/>
        <v>11549</v>
      </c>
      <c r="F15" s="302">
        <f t="shared" si="2"/>
        <v>11549</v>
      </c>
      <c r="G15" s="302">
        <f t="shared" si="3"/>
        <v>11549</v>
      </c>
      <c r="H15" s="302">
        <f t="shared" si="4"/>
        <v>11549</v>
      </c>
      <c r="I15" s="302">
        <f t="shared" si="5"/>
        <v>11549</v>
      </c>
      <c r="J15" s="302">
        <f t="shared" si="6"/>
        <v>11549</v>
      </c>
      <c r="K15" s="302">
        <f t="shared" si="7"/>
        <v>11549</v>
      </c>
      <c r="L15" s="302">
        <f t="shared" si="8"/>
        <v>11549</v>
      </c>
      <c r="M15" s="302">
        <f t="shared" si="9"/>
        <v>11549</v>
      </c>
      <c r="N15" s="302">
        <f t="shared" si="10"/>
        <v>11549</v>
      </c>
      <c r="O15" s="302">
        <f t="shared" si="11"/>
        <v>11549</v>
      </c>
      <c r="P15" s="142"/>
      <c r="Q15" s="322"/>
      <c r="R15" s="142"/>
      <c r="S15" s="142"/>
    </row>
    <row r="16" spans="1:19" s="286" customFormat="1" ht="24.75" customHeight="1">
      <c r="A16" s="303" t="s">
        <v>686</v>
      </c>
      <c r="B16" s="303"/>
      <c r="C16" s="303"/>
      <c r="D16" s="304">
        <f>D17/$C$18</f>
        <v>0.08333333333333333</v>
      </c>
      <c r="E16" s="304">
        <f>E17/$C$18</f>
        <v>0.08333333333333333</v>
      </c>
      <c r="F16" s="304">
        <f>F17/$C$18</f>
        <v>0.08333333333333333</v>
      </c>
      <c r="G16" s="304">
        <f>G17/$C$18</f>
        <v>0.08333333333333333</v>
      </c>
      <c r="H16" s="304">
        <f>H17/$C$18</f>
        <v>0.08333333333333333</v>
      </c>
      <c r="I16" s="304">
        <f>I17/$C$18</f>
        <v>0.08333333333333333</v>
      </c>
      <c r="J16" s="304">
        <f>J17/$C$18</f>
        <v>0.08333333333333333</v>
      </c>
      <c r="K16" s="304">
        <f>K17/$C$18</f>
        <v>0.08333333333333333</v>
      </c>
      <c r="L16" s="304">
        <f>L17/$C$18</f>
        <v>0.08333333333333333</v>
      </c>
      <c r="M16" s="304">
        <f>M17/$C$18</f>
        <v>0.08333333333333333</v>
      </c>
      <c r="N16" s="304">
        <f>N17/$C$18</f>
        <v>0.08333333333333333</v>
      </c>
      <c r="O16" s="304">
        <f>O17/$C$18</f>
        <v>0.08333333333333333</v>
      </c>
      <c r="P16" s="319"/>
      <c r="Q16" s="323"/>
      <c r="R16" s="319"/>
      <c r="S16" s="319"/>
    </row>
    <row r="17" spans="1:19" s="286" customFormat="1" ht="24.75" customHeight="1">
      <c r="A17" s="305" t="s">
        <v>687</v>
      </c>
      <c r="B17" s="305"/>
      <c r="C17" s="305"/>
      <c r="D17" s="306">
        <f aca="true" t="shared" si="12" ref="D17:O17">SUM(D9:D15)</f>
        <v>312663.6016666667</v>
      </c>
      <c r="E17" s="306">
        <f t="shared" si="12"/>
        <v>312663.6016666667</v>
      </c>
      <c r="F17" s="306">
        <f t="shared" si="12"/>
        <v>312663.6016666667</v>
      </c>
      <c r="G17" s="306">
        <f t="shared" si="12"/>
        <v>312663.6016666667</v>
      </c>
      <c r="H17" s="306">
        <f t="shared" si="12"/>
        <v>312663.6016666667</v>
      </c>
      <c r="I17" s="306">
        <f t="shared" si="12"/>
        <v>312663.6016666667</v>
      </c>
      <c r="J17" s="306">
        <f t="shared" si="12"/>
        <v>312663.6016666667</v>
      </c>
      <c r="K17" s="306">
        <f t="shared" si="12"/>
        <v>312663.6016666667</v>
      </c>
      <c r="L17" s="306">
        <f t="shared" si="12"/>
        <v>312663.6016666667</v>
      </c>
      <c r="M17" s="306">
        <f t="shared" si="12"/>
        <v>312663.6016666667</v>
      </c>
      <c r="N17" s="306">
        <f t="shared" si="12"/>
        <v>312663.6016666667</v>
      </c>
      <c r="O17" s="306">
        <f t="shared" si="12"/>
        <v>312663.6016666667</v>
      </c>
      <c r="P17" s="319"/>
      <c r="Q17" s="323"/>
      <c r="R17" s="319"/>
      <c r="S17" s="319"/>
    </row>
    <row r="18" spans="1:19" ht="33.75" customHeight="1">
      <c r="A18" s="307" t="s">
        <v>688</v>
      </c>
      <c r="B18" s="307"/>
      <c r="C18" s="308">
        <f>SUM(C9:C15)</f>
        <v>3751963.2200000007</v>
      </c>
      <c r="D18" s="309">
        <f>D17</f>
        <v>312663.6016666667</v>
      </c>
      <c r="E18" s="309">
        <f aca="true" t="shared" si="13" ref="E18:O18">D18+E17</f>
        <v>625327.2033333334</v>
      </c>
      <c r="F18" s="309">
        <f t="shared" si="13"/>
        <v>937990.805</v>
      </c>
      <c r="G18" s="309">
        <f t="shared" si="13"/>
        <v>1250654.4066666667</v>
      </c>
      <c r="H18" s="309">
        <f t="shared" si="13"/>
        <v>1563318.0083333333</v>
      </c>
      <c r="I18" s="309">
        <f t="shared" si="13"/>
        <v>1875981.6099999999</v>
      </c>
      <c r="J18" s="309">
        <f t="shared" si="13"/>
        <v>2188645.2116666664</v>
      </c>
      <c r="K18" s="309">
        <f t="shared" si="13"/>
        <v>2501308.813333333</v>
      </c>
      <c r="L18" s="309">
        <f t="shared" si="13"/>
        <v>2813972.4149999996</v>
      </c>
      <c r="M18" s="309">
        <f t="shared" si="13"/>
        <v>3126636.016666666</v>
      </c>
      <c r="N18" s="309">
        <f t="shared" si="13"/>
        <v>3439299.6183333327</v>
      </c>
      <c r="O18" s="309">
        <f t="shared" si="13"/>
        <v>3751963.2199999993</v>
      </c>
      <c r="P18" s="142"/>
      <c r="Q18" s="322"/>
      <c r="R18" s="142"/>
      <c r="S18" s="142"/>
    </row>
    <row r="19" spans="1:22" s="287" customFormat="1" ht="33.75" customHeight="1">
      <c r="A19" s="310" t="s">
        <v>620</v>
      </c>
      <c r="B19" s="310"/>
      <c r="C19" s="311" t="str">
        <f>'ORÇAMENTO BÁSICO'!C86</f>
        <v>TRÊS MILHÕES, SETECENTOS E CINQUENTA E UM MIL, NOVECENTOS E SESSENTA E TRÊS REAIS E VINTE E DOIS CENTAVOS.</v>
      </c>
      <c r="D19" s="311"/>
      <c r="E19" s="311"/>
      <c r="F19" s="311"/>
      <c r="G19" s="311"/>
      <c r="H19" s="311"/>
      <c r="I19" s="311"/>
      <c r="J19" s="311"/>
      <c r="K19" s="311"/>
      <c r="L19" s="311"/>
      <c r="M19" s="311"/>
      <c r="N19" s="311"/>
      <c r="O19" s="311"/>
      <c r="P19" s="320"/>
      <c r="Q19" s="320"/>
      <c r="R19" s="320"/>
      <c r="S19" s="320"/>
      <c r="T19" s="320"/>
      <c r="U19" s="324"/>
      <c r="V19" s="324"/>
    </row>
    <row r="20" spans="1:22" s="287" customFormat="1" ht="12" customHeight="1">
      <c r="A20" s="312"/>
      <c r="B20" s="312"/>
      <c r="C20" s="312"/>
      <c r="D20" s="312"/>
      <c r="E20" s="312"/>
      <c r="F20" s="312"/>
      <c r="G20" s="312"/>
      <c r="H20" s="312"/>
      <c r="I20" s="312"/>
      <c r="J20" s="312"/>
      <c r="K20" s="312"/>
      <c r="L20" s="312"/>
      <c r="M20" s="312"/>
      <c r="N20" s="312"/>
      <c r="O20" s="312"/>
      <c r="P20" s="320"/>
      <c r="Q20" s="320"/>
      <c r="R20" s="320"/>
      <c r="S20" s="320"/>
      <c r="T20" s="320"/>
      <c r="U20" s="324"/>
      <c r="V20" s="324"/>
    </row>
    <row r="21" spans="1:22" s="287" customFormat="1" ht="22.5" customHeight="1">
      <c r="A21" s="92" t="str">
        <f>RESUMO!A32</f>
        <v>Camaragibe, 19 de abril de 2021.</v>
      </c>
      <c r="B21" s="92"/>
      <c r="C21" s="92"/>
      <c r="D21" s="92"/>
      <c r="E21" s="92"/>
      <c r="F21" s="92"/>
      <c r="G21" s="92"/>
      <c r="H21" s="92"/>
      <c r="I21" s="92"/>
      <c r="J21" s="92"/>
      <c r="K21" s="92"/>
      <c r="L21" s="92"/>
      <c r="M21" s="92"/>
      <c r="N21" s="92"/>
      <c r="O21" s="92"/>
      <c r="P21" s="320"/>
      <c r="Q21" s="320"/>
      <c r="R21" s="320"/>
      <c r="S21" s="320"/>
      <c r="T21" s="320"/>
      <c r="U21" s="324"/>
      <c r="V21" s="324"/>
    </row>
    <row r="22" spans="1:22" s="287" customFormat="1" ht="79.5" customHeight="1">
      <c r="A22" s="94"/>
      <c r="B22" s="94"/>
      <c r="C22" s="94"/>
      <c r="D22" s="94"/>
      <c r="E22" s="94"/>
      <c r="F22" s="94"/>
      <c r="G22" s="94"/>
      <c r="H22" s="94"/>
      <c r="I22" s="94"/>
      <c r="J22" s="94"/>
      <c r="K22" s="94"/>
      <c r="L22" s="94"/>
      <c r="M22" s="94"/>
      <c r="N22" s="94"/>
      <c r="O22" s="94"/>
      <c r="P22" s="320"/>
      <c r="Q22" s="320"/>
      <c r="R22" s="320"/>
      <c r="S22" s="320"/>
      <c r="T22" s="320"/>
      <c r="U22" s="324"/>
      <c r="V22" s="324"/>
    </row>
    <row r="23" spans="1:19" ht="15.75">
      <c r="A23" s="313"/>
      <c r="B23" s="313"/>
      <c r="C23" s="313"/>
      <c r="D23" s="313"/>
      <c r="E23" s="313"/>
      <c r="F23" s="313"/>
      <c r="G23" s="313"/>
      <c r="H23" s="313"/>
      <c r="I23" s="313"/>
      <c r="J23" s="313"/>
      <c r="K23" s="313"/>
      <c r="L23" s="313"/>
      <c r="M23" s="313"/>
      <c r="N23" s="313"/>
      <c r="O23" s="313"/>
      <c r="P23" s="142"/>
      <c r="Q23" s="142"/>
      <c r="R23" s="142"/>
      <c r="S23" s="142"/>
    </row>
    <row r="24" spans="1:19" ht="12" customHeight="1">
      <c r="A24" s="313"/>
      <c r="B24" s="313"/>
      <c r="C24" s="313"/>
      <c r="D24" s="313"/>
      <c r="E24" s="313"/>
      <c r="F24" s="313"/>
      <c r="G24" s="313"/>
      <c r="H24" s="313"/>
      <c r="I24" s="313"/>
      <c r="J24" s="313"/>
      <c r="K24" s="313"/>
      <c r="L24" s="313"/>
      <c r="M24" s="313"/>
      <c r="N24" s="313"/>
      <c r="O24" s="313"/>
      <c r="P24" s="142"/>
      <c r="Q24" s="142"/>
      <c r="R24" s="142"/>
      <c r="S24" s="142"/>
    </row>
    <row r="25" spans="1:19" ht="12" customHeight="1">
      <c r="A25" s="313"/>
      <c r="B25" s="313"/>
      <c r="C25" s="313"/>
      <c r="D25" s="313"/>
      <c r="E25" s="313"/>
      <c r="F25" s="313"/>
      <c r="G25" s="313"/>
      <c r="H25" s="313"/>
      <c r="I25" s="313"/>
      <c r="J25" s="313"/>
      <c r="K25" s="313"/>
      <c r="L25" s="313"/>
      <c r="M25" s="313"/>
      <c r="N25" s="313"/>
      <c r="O25" s="313"/>
      <c r="P25" s="142"/>
      <c r="Q25" s="142"/>
      <c r="R25" s="142"/>
      <c r="S25" s="142"/>
    </row>
    <row r="26" spans="1:19" ht="15.75">
      <c r="A26" s="313"/>
      <c r="B26" s="313"/>
      <c r="C26" s="313"/>
      <c r="D26" s="313"/>
      <c r="E26" s="313"/>
      <c r="F26" s="313"/>
      <c r="G26" s="313"/>
      <c r="H26" s="313"/>
      <c r="I26" s="313"/>
      <c r="J26" s="313"/>
      <c r="K26" s="313"/>
      <c r="L26" s="313"/>
      <c r="M26" s="313"/>
      <c r="N26" s="313"/>
      <c r="O26" s="313"/>
      <c r="P26" s="142"/>
      <c r="Q26" s="142"/>
      <c r="R26" s="142"/>
      <c r="S26" s="142"/>
    </row>
    <row r="27" spans="1:19" ht="15.75">
      <c r="A27" s="313"/>
      <c r="B27" s="313"/>
      <c r="C27" s="313"/>
      <c r="D27" s="313"/>
      <c r="E27" s="313"/>
      <c r="F27" s="313"/>
      <c r="G27" s="313"/>
      <c r="H27" s="313"/>
      <c r="I27" s="313"/>
      <c r="J27" s="313"/>
      <c r="K27" s="313"/>
      <c r="L27" s="313"/>
      <c r="M27" s="313"/>
      <c r="N27" s="313"/>
      <c r="O27" s="313"/>
      <c r="P27" s="142"/>
      <c r="Q27" s="142"/>
      <c r="R27" s="142"/>
      <c r="S27" s="142"/>
    </row>
    <row r="28" spans="1:19" ht="15.75">
      <c r="A28" s="313"/>
      <c r="B28" s="313"/>
      <c r="C28" s="313"/>
      <c r="D28" s="313"/>
      <c r="E28" s="313"/>
      <c r="F28" s="313"/>
      <c r="G28" s="313"/>
      <c r="H28" s="313"/>
      <c r="I28" s="313"/>
      <c r="J28" s="313"/>
      <c r="K28" s="313"/>
      <c r="L28" s="313"/>
      <c r="M28" s="313"/>
      <c r="N28" s="313"/>
      <c r="O28" s="313"/>
      <c r="P28" s="142"/>
      <c r="Q28" s="142"/>
      <c r="R28" s="142"/>
      <c r="S28" s="142"/>
    </row>
    <row r="29" spans="1:19" ht="15.75">
      <c r="A29" s="313"/>
      <c r="B29" s="313"/>
      <c r="C29" s="313"/>
      <c r="D29" s="313"/>
      <c r="E29" s="313"/>
      <c r="F29" s="313"/>
      <c r="G29" s="313"/>
      <c r="H29" s="313"/>
      <c r="I29" s="313"/>
      <c r="J29" s="313"/>
      <c r="K29" s="313"/>
      <c r="L29" s="313"/>
      <c r="M29" s="313"/>
      <c r="N29" s="313"/>
      <c r="O29" s="313"/>
      <c r="P29" s="142"/>
      <c r="Q29" s="142"/>
      <c r="R29" s="142"/>
      <c r="S29" s="142"/>
    </row>
    <row r="30" spans="1:19" ht="15.75">
      <c r="A30" s="313"/>
      <c r="B30" s="313"/>
      <c r="C30" s="313"/>
      <c r="D30" s="313"/>
      <c r="E30" s="313"/>
      <c r="F30" s="313"/>
      <c r="G30" s="313"/>
      <c r="H30" s="313"/>
      <c r="I30" s="313"/>
      <c r="J30" s="313"/>
      <c r="K30" s="313"/>
      <c r="L30" s="313"/>
      <c r="M30" s="313"/>
      <c r="N30" s="313"/>
      <c r="O30" s="313"/>
      <c r="P30" s="142"/>
      <c r="Q30" s="142"/>
      <c r="R30" s="142"/>
      <c r="S30" s="142"/>
    </row>
    <row r="31" spans="1:19" ht="15.75">
      <c r="A31" s="314"/>
      <c r="B31" s="314"/>
      <c r="C31" s="314"/>
      <c r="D31" s="314"/>
      <c r="E31" s="314"/>
      <c r="F31" s="314"/>
      <c r="G31" s="314"/>
      <c r="H31" s="314"/>
      <c r="I31" s="314"/>
      <c r="J31" s="314"/>
      <c r="K31" s="314"/>
      <c r="L31" s="314"/>
      <c r="M31" s="314"/>
      <c r="N31" s="314"/>
      <c r="O31" s="314"/>
      <c r="P31" s="142"/>
      <c r="Q31" s="142"/>
      <c r="R31" s="142"/>
      <c r="S31" s="142"/>
    </row>
    <row r="32" spans="1:19" ht="15.75">
      <c r="A32" s="314"/>
      <c r="B32" s="314"/>
      <c r="C32" s="314"/>
      <c r="D32" s="314"/>
      <c r="E32" s="314"/>
      <c r="F32" s="314"/>
      <c r="G32" s="314"/>
      <c r="H32" s="314"/>
      <c r="I32" s="314"/>
      <c r="J32" s="314"/>
      <c r="K32" s="314"/>
      <c r="L32" s="314"/>
      <c r="M32" s="314"/>
      <c r="N32" s="314"/>
      <c r="O32" s="314"/>
      <c r="P32" s="142"/>
      <c r="Q32" s="142"/>
      <c r="R32" s="142"/>
      <c r="S32" s="142"/>
    </row>
    <row r="33" spans="1:19" ht="15.75">
      <c r="A33" s="314"/>
      <c r="B33" s="314"/>
      <c r="C33" s="314"/>
      <c r="D33" s="314"/>
      <c r="E33" s="314"/>
      <c r="F33" s="314"/>
      <c r="G33" s="314"/>
      <c r="H33" s="314"/>
      <c r="I33" s="314"/>
      <c r="J33" s="314"/>
      <c r="K33" s="314"/>
      <c r="L33" s="314"/>
      <c r="M33" s="314"/>
      <c r="N33" s="314"/>
      <c r="O33" s="314"/>
      <c r="P33" s="142"/>
      <c r="Q33" s="142"/>
      <c r="R33" s="142"/>
      <c r="S33" s="142"/>
    </row>
    <row r="34" spans="1:19" ht="15.75">
      <c r="A34" s="314"/>
      <c r="B34" s="314"/>
      <c r="C34" s="314"/>
      <c r="D34" s="314"/>
      <c r="E34" s="314"/>
      <c r="F34" s="314"/>
      <c r="G34" s="314"/>
      <c r="H34" s="314"/>
      <c r="I34" s="314"/>
      <c r="J34" s="314"/>
      <c r="K34" s="314"/>
      <c r="L34" s="314"/>
      <c r="M34" s="314"/>
      <c r="N34" s="314"/>
      <c r="O34" s="314"/>
      <c r="P34" s="142"/>
      <c r="Q34" s="142"/>
      <c r="R34" s="142"/>
      <c r="S34" s="142"/>
    </row>
    <row r="35" spans="1:19" ht="15.75">
      <c r="A35" s="314"/>
      <c r="B35" s="314"/>
      <c r="C35" s="314"/>
      <c r="D35" s="314"/>
      <c r="E35" s="314"/>
      <c r="F35" s="314"/>
      <c r="G35" s="314"/>
      <c r="H35" s="314"/>
      <c r="I35" s="314"/>
      <c r="J35" s="314"/>
      <c r="K35" s="314"/>
      <c r="L35" s="314"/>
      <c r="M35" s="314"/>
      <c r="N35" s="314"/>
      <c r="O35" s="314"/>
      <c r="P35" s="142"/>
      <c r="Q35" s="142"/>
      <c r="R35" s="142"/>
      <c r="S35" s="142"/>
    </row>
    <row r="36" spans="1:19" ht="15.75">
      <c r="A36" s="142"/>
      <c r="B36" s="142"/>
      <c r="C36" s="142"/>
      <c r="D36" s="142"/>
      <c r="E36" s="142"/>
      <c r="F36" s="142"/>
      <c r="G36" s="142"/>
      <c r="H36" s="142"/>
      <c r="I36" s="142"/>
      <c r="J36" s="142"/>
      <c r="K36" s="142"/>
      <c r="L36" s="142"/>
      <c r="M36" s="142"/>
      <c r="N36" s="142"/>
      <c r="O36" s="142"/>
      <c r="P36" s="142"/>
      <c r="Q36" s="142"/>
      <c r="R36" s="142"/>
      <c r="S36" s="142"/>
    </row>
    <row r="37" spans="1:19" ht="15.75">
      <c r="A37" s="142"/>
      <c r="B37" s="142"/>
      <c r="C37" s="142"/>
      <c r="D37" s="142"/>
      <c r="E37" s="142"/>
      <c r="F37" s="142"/>
      <c r="G37" s="142"/>
      <c r="H37" s="142"/>
      <c r="I37" s="142"/>
      <c r="J37" s="142"/>
      <c r="K37" s="142"/>
      <c r="L37" s="142"/>
      <c r="M37" s="142"/>
      <c r="N37" s="142"/>
      <c r="O37" s="142"/>
      <c r="P37" s="142"/>
      <c r="Q37" s="142"/>
      <c r="R37" s="142"/>
      <c r="S37" s="142"/>
    </row>
    <row r="38" spans="1:19" ht="15.75">
      <c r="A38" s="142"/>
      <c r="B38" s="142"/>
      <c r="C38" s="142"/>
      <c r="D38" s="142"/>
      <c r="E38" s="142"/>
      <c r="F38" s="142"/>
      <c r="G38" s="142"/>
      <c r="H38" s="142"/>
      <c r="I38" s="142"/>
      <c r="J38" s="142"/>
      <c r="K38" s="142"/>
      <c r="L38" s="142"/>
      <c r="M38" s="142"/>
      <c r="N38" s="142"/>
      <c r="O38" s="142"/>
      <c r="P38" s="142"/>
      <c r="Q38" s="142"/>
      <c r="R38" s="142"/>
      <c r="S38" s="142"/>
    </row>
    <row r="39" spans="1:19" ht="15.75">
      <c r="A39" s="142"/>
      <c r="B39" s="142"/>
      <c r="C39" s="142"/>
      <c r="D39" s="142"/>
      <c r="E39" s="142"/>
      <c r="F39" s="142"/>
      <c r="G39" s="142"/>
      <c r="H39" s="142"/>
      <c r="I39" s="142"/>
      <c r="J39" s="142"/>
      <c r="K39" s="142"/>
      <c r="L39" s="142"/>
      <c r="M39" s="142"/>
      <c r="N39" s="142"/>
      <c r="O39" s="142"/>
      <c r="P39" s="142"/>
      <c r="Q39" s="142"/>
      <c r="R39" s="142"/>
      <c r="S39" s="142"/>
    </row>
    <row r="40" spans="1:19" ht="15.75">
      <c r="A40" s="142"/>
      <c r="B40" s="142"/>
      <c r="C40" s="142"/>
      <c r="D40" s="142"/>
      <c r="E40" s="142"/>
      <c r="F40" s="142"/>
      <c r="G40" s="142"/>
      <c r="H40" s="142"/>
      <c r="I40" s="142"/>
      <c r="J40" s="142"/>
      <c r="K40" s="142"/>
      <c r="L40" s="142"/>
      <c r="M40" s="142"/>
      <c r="N40" s="142"/>
      <c r="O40" s="142"/>
      <c r="P40" s="142"/>
      <c r="Q40" s="142"/>
      <c r="R40" s="142"/>
      <c r="S40" s="142"/>
    </row>
    <row r="41" spans="1:19" ht="15.75">
      <c r="A41" s="142"/>
      <c r="B41" s="142"/>
      <c r="C41" s="142"/>
      <c r="D41" s="142"/>
      <c r="E41" s="142"/>
      <c r="F41" s="142"/>
      <c r="G41" s="142"/>
      <c r="H41" s="142"/>
      <c r="I41" s="142"/>
      <c r="J41" s="142"/>
      <c r="K41" s="142"/>
      <c r="L41" s="142"/>
      <c r="M41" s="142"/>
      <c r="N41" s="142"/>
      <c r="O41" s="142"/>
      <c r="P41" s="142"/>
      <c r="Q41" s="142"/>
      <c r="R41" s="142"/>
      <c r="S41" s="142"/>
    </row>
    <row r="42" spans="1:19" ht="15.75">
      <c r="A42" s="142"/>
      <c r="B42" s="142"/>
      <c r="C42" s="142"/>
      <c r="D42" s="142"/>
      <c r="E42" s="142"/>
      <c r="F42" s="142"/>
      <c r="G42" s="142"/>
      <c r="H42" s="142"/>
      <c r="I42" s="142"/>
      <c r="J42" s="142"/>
      <c r="K42" s="142"/>
      <c r="L42" s="142"/>
      <c r="M42" s="142"/>
      <c r="N42" s="142"/>
      <c r="O42" s="142"/>
      <c r="P42" s="142"/>
      <c r="Q42" s="142"/>
      <c r="R42" s="142"/>
      <c r="S42" s="142"/>
    </row>
    <row r="43" spans="1:19" ht="15.75">
      <c r="A43" s="142"/>
      <c r="B43" s="142"/>
      <c r="C43" s="142"/>
      <c r="D43" s="142"/>
      <c r="E43" s="142"/>
      <c r="F43" s="142"/>
      <c r="G43" s="142"/>
      <c r="H43" s="142"/>
      <c r="I43" s="142"/>
      <c r="J43" s="142"/>
      <c r="K43" s="142"/>
      <c r="L43" s="142"/>
      <c r="M43" s="142"/>
      <c r="N43" s="142"/>
      <c r="O43" s="142"/>
      <c r="P43" s="142"/>
      <c r="Q43" s="142"/>
      <c r="R43" s="142"/>
      <c r="S43" s="142"/>
    </row>
    <row r="44" spans="1:19" ht="15.75">
      <c r="A44" s="142"/>
      <c r="B44" s="142"/>
      <c r="C44" s="142"/>
      <c r="D44" s="142"/>
      <c r="E44" s="142"/>
      <c r="F44" s="142"/>
      <c r="G44" s="142"/>
      <c r="H44" s="142"/>
      <c r="I44" s="142"/>
      <c r="J44" s="142"/>
      <c r="K44" s="142"/>
      <c r="L44" s="142"/>
      <c r="M44" s="142"/>
      <c r="N44" s="142"/>
      <c r="O44" s="142"/>
      <c r="P44" s="142"/>
      <c r="Q44" s="142"/>
      <c r="R44" s="142"/>
      <c r="S44" s="142"/>
    </row>
    <row r="45" spans="1:19" ht="15.75">
      <c r="A45" s="142"/>
      <c r="B45" s="142"/>
      <c r="C45" s="142"/>
      <c r="D45" s="142"/>
      <c r="E45" s="142"/>
      <c r="F45" s="142"/>
      <c r="G45" s="142"/>
      <c r="H45" s="142"/>
      <c r="I45" s="142"/>
      <c r="J45" s="142"/>
      <c r="K45" s="142"/>
      <c r="L45" s="142"/>
      <c r="M45" s="142"/>
      <c r="N45" s="142"/>
      <c r="O45" s="142"/>
      <c r="P45" s="142"/>
      <c r="Q45" s="142"/>
      <c r="R45" s="142"/>
      <c r="S45" s="142"/>
    </row>
    <row r="46" spans="1:19" ht="15.75">
      <c r="A46" s="142"/>
      <c r="B46" s="142"/>
      <c r="C46" s="142"/>
      <c r="D46" s="142"/>
      <c r="E46" s="142"/>
      <c r="F46" s="142"/>
      <c r="G46" s="142"/>
      <c r="H46" s="142"/>
      <c r="I46" s="142"/>
      <c r="J46" s="142"/>
      <c r="K46" s="142"/>
      <c r="L46" s="142"/>
      <c r="M46" s="142"/>
      <c r="N46" s="142"/>
      <c r="O46" s="142"/>
      <c r="P46" s="142"/>
      <c r="Q46" s="142"/>
      <c r="R46" s="142"/>
      <c r="S46" s="142"/>
    </row>
    <row r="47" spans="1:15" ht="15.75">
      <c r="A47" s="142"/>
      <c r="B47" s="142"/>
      <c r="C47" s="142"/>
      <c r="D47" s="142"/>
      <c r="E47" s="142"/>
      <c r="F47" s="142"/>
      <c r="G47" s="142"/>
      <c r="H47" s="142"/>
      <c r="I47" s="142"/>
      <c r="J47" s="142"/>
      <c r="K47" s="142"/>
      <c r="L47" s="142"/>
      <c r="M47" s="142"/>
      <c r="N47" s="142"/>
      <c r="O47" s="142"/>
    </row>
  </sheetData>
  <sheetProtection selectLockedCells="1" selectUnlockedCells="1"/>
  <mergeCells count="19">
    <mergeCell ref="A2:O2"/>
    <mergeCell ref="A3:O3"/>
    <mergeCell ref="A4:B4"/>
    <mergeCell ref="C4:O4"/>
    <mergeCell ref="A5:B5"/>
    <mergeCell ref="C5:O5"/>
    <mergeCell ref="A6:O6"/>
    <mergeCell ref="D7:O7"/>
    <mergeCell ref="A16:C16"/>
    <mergeCell ref="A17:C17"/>
    <mergeCell ref="A18:B18"/>
    <mergeCell ref="A19:B19"/>
    <mergeCell ref="C19:O19"/>
    <mergeCell ref="A20:O20"/>
    <mergeCell ref="A21:O21"/>
    <mergeCell ref="A22:O22"/>
    <mergeCell ref="A7:A8"/>
    <mergeCell ref="B7:B8"/>
    <mergeCell ref="C7:C8"/>
  </mergeCells>
  <printOptions horizontalCentered="1" verticalCentered="1"/>
  <pageMargins left="0" right="0" top="0" bottom="0" header="0.5118055555555555" footer="0.5118055555555555"/>
  <pageSetup horizontalDpi="300" verticalDpi="300" orientation="landscape" paperSize="9" scale="55"/>
  <drawing r:id="rId1"/>
</worksheet>
</file>

<file path=xl/worksheets/sheet12.xml><?xml version="1.0" encoding="utf-8"?>
<worksheet xmlns="http://schemas.openxmlformats.org/spreadsheetml/2006/main" xmlns:r="http://schemas.openxmlformats.org/officeDocument/2006/relationships">
  <dimension ref="A1:V100"/>
  <sheetViews>
    <sheetView view="pageBreakPreview" zoomScale="73" zoomScaleNormal="81" zoomScaleSheetLayoutView="73" workbookViewId="0" topLeftCell="A7">
      <selection activeCell="D14" sqref="D14"/>
    </sheetView>
  </sheetViews>
  <sheetFormatPr defaultColWidth="9.00390625" defaultRowHeight="30" customHeight="1"/>
  <cols>
    <col min="1" max="1" width="9.57421875" style="159" customWidth="1"/>
    <col min="2" max="2" width="21.57421875" style="159" customWidth="1"/>
    <col min="3" max="3" width="97.7109375" style="160" customWidth="1"/>
    <col min="4" max="4" width="12.28125" style="159" customWidth="1"/>
    <col min="5" max="5" width="17.57421875" style="161" customWidth="1"/>
    <col min="6" max="6" width="14.28125" style="162" customWidth="1"/>
    <col min="7" max="7" width="15.421875" style="162" customWidth="1"/>
    <col min="8" max="8" width="27.140625" style="162" customWidth="1"/>
    <col min="9" max="9" width="14.28125" style="159" customWidth="1"/>
    <col min="10" max="10" width="16.8515625" style="163" customWidth="1"/>
    <col min="11" max="11" width="35.00390625" style="164" customWidth="1"/>
    <col min="12" max="12" width="19.00390625" style="165" customWidth="1"/>
    <col min="13" max="13" width="12.7109375" style="159" customWidth="1"/>
    <col min="14" max="14" width="5.421875" style="159" customWidth="1"/>
    <col min="15" max="15" width="9.28125" style="159" customWidth="1"/>
    <col min="16" max="16" width="10.8515625" style="159" customWidth="1"/>
    <col min="17" max="17" width="9.140625" style="159" customWidth="1"/>
    <col min="18" max="18" width="9.57421875" style="159" customWidth="1"/>
    <col min="19" max="19" width="11.7109375" style="159" customWidth="1"/>
    <col min="20" max="20" width="10.57421875" style="159" customWidth="1"/>
    <col min="21" max="24" width="9.140625" style="159" customWidth="1"/>
    <col min="25" max="16384" width="9.140625" style="159" bestFit="1" customWidth="1"/>
  </cols>
  <sheetData>
    <row r="1" spans="1:22" s="154" customFormat="1" ht="84.75" customHeight="1">
      <c r="A1" s="166" t="s">
        <v>449</v>
      </c>
      <c r="B1" s="166"/>
      <c r="C1" s="167"/>
      <c r="D1" s="166"/>
      <c r="E1" s="166"/>
      <c r="F1" s="166"/>
      <c r="G1" s="166"/>
      <c r="H1" s="166"/>
      <c r="I1" s="166"/>
      <c r="J1" s="166"/>
      <c r="K1" s="164"/>
      <c r="L1" s="222"/>
      <c r="M1" s="223"/>
      <c r="N1" s="223"/>
      <c r="O1" s="223"/>
      <c r="P1" s="223"/>
      <c r="Q1" s="223"/>
      <c r="R1" s="223"/>
      <c r="S1" s="223"/>
      <c r="T1" s="223"/>
      <c r="U1" s="223"/>
      <c r="V1" s="223"/>
    </row>
    <row r="2" spans="1:22" s="154" customFormat="1" ht="36" customHeight="1">
      <c r="A2" s="168" t="s">
        <v>450</v>
      </c>
      <c r="B2" s="168"/>
      <c r="C2" s="169"/>
      <c r="D2" s="168"/>
      <c r="E2" s="168"/>
      <c r="F2" s="168"/>
      <c r="G2" s="168"/>
      <c r="H2" s="168"/>
      <c r="I2" s="168"/>
      <c r="J2" s="168"/>
      <c r="K2" s="164"/>
      <c r="L2" s="222"/>
      <c r="M2" s="223"/>
      <c r="N2" s="223"/>
      <c r="O2" s="223"/>
      <c r="P2" s="223"/>
      <c r="Q2" s="223"/>
      <c r="R2" s="223"/>
      <c r="S2" s="223"/>
      <c r="T2" s="223"/>
      <c r="U2" s="223"/>
      <c r="V2" s="223"/>
    </row>
    <row r="3" spans="1:22" s="155" customFormat="1" ht="41.25" customHeight="1">
      <c r="A3" s="170" t="s">
        <v>451</v>
      </c>
      <c r="B3" s="170"/>
      <c r="C3" s="171" t="str">
        <f>'[2]RESUMO'!B3</f>
        <v>CONTRATAÇÃO DE EMPRESA ESPECIALIZADA NA ÁREA DE ENGENHARIA PARA A EXECUÇÃO DOS SERVIÇOS DE MANUTENÇÃO/CONSERVAÇÃO DA INFRAESTRUTURA VIÁRIA NO MUNICÍPIO DE CAMARAGIBE.</v>
      </c>
      <c r="D3" s="172"/>
      <c r="E3" s="172"/>
      <c r="F3" s="172"/>
      <c r="G3" s="172"/>
      <c r="H3" s="172"/>
      <c r="I3" s="172"/>
      <c r="J3" s="172"/>
      <c r="K3" s="224"/>
      <c r="L3" s="225"/>
      <c r="M3" s="225"/>
      <c r="N3" s="225"/>
      <c r="O3" s="225"/>
      <c r="P3" s="225"/>
      <c r="Q3" s="225"/>
      <c r="R3" s="225"/>
      <c r="S3" s="225"/>
      <c r="T3" s="225"/>
      <c r="U3" s="257"/>
      <c r="V3" s="257"/>
    </row>
    <row r="4" spans="1:22" s="155" customFormat="1" ht="30.75" customHeight="1">
      <c r="A4" s="173" t="s">
        <v>452</v>
      </c>
      <c r="B4" s="173"/>
      <c r="C4" s="174" t="str">
        <f>'[2]RESUMO'!B4</f>
        <v>TODO MUNICÍPIO DE CAMARAGIBE/PE.</v>
      </c>
      <c r="D4" s="175"/>
      <c r="E4" s="175"/>
      <c r="F4" s="175"/>
      <c r="G4" s="175"/>
      <c r="H4" s="175"/>
      <c r="I4" s="175"/>
      <c r="J4" s="175"/>
      <c r="K4" s="224"/>
      <c r="L4" s="225"/>
      <c r="M4" s="225"/>
      <c r="N4" s="225"/>
      <c r="O4" s="225"/>
      <c r="P4" s="225"/>
      <c r="Q4" s="225"/>
      <c r="R4" s="225"/>
      <c r="S4" s="225"/>
      <c r="T4" s="225"/>
      <c r="U4" s="257"/>
      <c r="V4" s="257"/>
    </row>
    <row r="5" spans="1:22" s="156" customFormat="1" ht="30.75" customHeight="1">
      <c r="A5" s="173" t="s">
        <v>453</v>
      </c>
      <c r="B5" s="173"/>
      <c r="C5" s="174" t="s">
        <v>454</v>
      </c>
      <c r="D5" s="175"/>
      <c r="E5" s="175"/>
      <c r="F5" s="175"/>
      <c r="G5" s="175"/>
      <c r="H5" s="175"/>
      <c r="I5" s="175"/>
      <c r="J5" s="175"/>
      <c r="K5" s="226"/>
      <c r="L5" s="227"/>
      <c r="M5" s="228"/>
      <c r="N5" s="227"/>
      <c r="O5" s="227"/>
      <c r="P5" s="229"/>
      <c r="Q5" s="227"/>
      <c r="R5" s="227"/>
      <c r="S5" s="227"/>
      <c r="T5" s="227"/>
      <c r="U5" s="258"/>
      <c r="V5" s="258"/>
    </row>
    <row r="6" spans="1:22" s="154" customFormat="1" ht="36" customHeight="1">
      <c r="A6" s="124" t="s">
        <v>689</v>
      </c>
      <c r="B6" s="124"/>
      <c r="C6" s="176"/>
      <c r="D6" s="124"/>
      <c r="E6" s="124"/>
      <c r="F6" s="124"/>
      <c r="G6" s="124"/>
      <c r="H6" s="124"/>
      <c r="I6" s="124"/>
      <c r="J6" s="124"/>
      <c r="K6" s="164"/>
      <c r="L6" s="222"/>
      <c r="M6" s="223"/>
      <c r="N6" s="223"/>
      <c r="O6" s="223"/>
      <c r="P6" s="223"/>
      <c r="Q6" s="223"/>
      <c r="R6" s="223"/>
      <c r="S6" s="259"/>
      <c r="T6" s="223"/>
      <c r="U6" s="223"/>
      <c r="V6" s="223"/>
    </row>
    <row r="7" spans="1:22" s="157" customFormat="1" ht="30" customHeight="1">
      <c r="A7" s="177" t="s">
        <v>2</v>
      </c>
      <c r="B7" s="178" t="s">
        <v>3</v>
      </c>
      <c r="C7" s="178" t="s">
        <v>4</v>
      </c>
      <c r="D7" s="179" t="s">
        <v>457</v>
      </c>
      <c r="E7" s="179"/>
      <c r="F7" s="179"/>
      <c r="G7" s="179"/>
      <c r="H7" s="180">
        <v>0.2882</v>
      </c>
      <c r="I7" s="230" t="s">
        <v>689</v>
      </c>
      <c r="J7" s="230"/>
      <c r="K7" s="231"/>
      <c r="L7" s="232"/>
      <c r="M7" s="233"/>
      <c r="N7" s="234"/>
      <c r="O7" s="235"/>
      <c r="P7" s="236"/>
      <c r="Q7" s="234"/>
      <c r="R7" s="260"/>
      <c r="S7" s="261"/>
      <c r="T7" s="234"/>
      <c r="U7" s="234"/>
      <c r="V7" s="234"/>
    </row>
    <row r="8" spans="1:22" s="158" customFormat="1" ht="27" customHeight="1">
      <c r="A8" s="177"/>
      <c r="B8" s="178"/>
      <c r="C8" s="178"/>
      <c r="D8" s="178" t="s">
        <v>5</v>
      </c>
      <c r="E8" s="181" t="s">
        <v>6</v>
      </c>
      <c r="F8" s="182" t="s">
        <v>7</v>
      </c>
      <c r="G8" s="182" t="s">
        <v>458</v>
      </c>
      <c r="H8" s="182" t="s">
        <v>8</v>
      </c>
      <c r="I8" s="178" t="s">
        <v>281</v>
      </c>
      <c r="J8" s="178"/>
      <c r="K8" s="237"/>
      <c r="L8" s="238"/>
      <c r="M8" s="239"/>
      <c r="N8" s="240"/>
      <c r="O8" s="241"/>
      <c r="P8" s="241"/>
      <c r="Q8" s="240"/>
      <c r="R8" s="240"/>
      <c r="S8" s="262"/>
      <c r="T8" s="240"/>
      <c r="U8" s="240"/>
      <c r="V8" s="240"/>
    </row>
    <row r="9" spans="1:22" s="158" customFormat="1" ht="27" customHeight="1">
      <c r="A9" s="177"/>
      <c r="B9" s="178"/>
      <c r="C9" s="178"/>
      <c r="D9" s="183"/>
      <c r="E9" s="184"/>
      <c r="F9" s="182"/>
      <c r="G9" s="182"/>
      <c r="H9" s="182"/>
      <c r="I9" s="242" t="s">
        <v>690</v>
      </c>
      <c r="J9" s="243" t="s">
        <v>691</v>
      </c>
      <c r="K9" s="244">
        <v>0.5</v>
      </c>
      <c r="L9" s="238"/>
      <c r="M9" s="239"/>
      <c r="N9" s="240"/>
      <c r="O9" s="240"/>
      <c r="P9" s="240"/>
      <c r="Q9" s="240"/>
      <c r="R9" s="240"/>
      <c r="S9" s="262"/>
      <c r="T9" s="240"/>
      <c r="U9" s="240"/>
      <c r="V9" s="240"/>
    </row>
    <row r="10" spans="1:22" s="158" customFormat="1" ht="72.75" customHeight="1">
      <c r="A10" s="185" t="s">
        <v>129</v>
      </c>
      <c r="B10" s="186" t="s">
        <v>529</v>
      </c>
      <c r="C10" s="187" t="s">
        <v>530</v>
      </c>
      <c r="D10" s="188" t="s">
        <v>466</v>
      </c>
      <c r="E10" s="189">
        <v>7920</v>
      </c>
      <c r="F10" s="190">
        <v>62.63</v>
      </c>
      <c r="G10" s="191">
        <v>80.67</v>
      </c>
      <c r="H10" s="191">
        <v>638906.4</v>
      </c>
      <c r="I10" s="245">
        <f aca="true" t="shared" si="0" ref="I10:I69">H10/$H$71</f>
        <v>0.17028589102214062</v>
      </c>
      <c r="J10" s="246">
        <f>I10</f>
        <v>0.17028589102214062</v>
      </c>
      <c r="K10" s="244">
        <f aca="true" t="shared" si="1" ref="K10:K69">ROUND(E10/2,2)</f>
        <v>3960</v>
      </c>
      <c r="L10" s="238"/>
      <c r="M10" s="239"/>
      <c r="N10" s="240"/>
      <c r="O10" s="240"/>
      <c r="P10" s="240"/>
      <c r="Q10" s="240"/>
      <c r="R10" s="240"/>
      <c r="S10" s="262"/>
      <c r="T10" s="240"/>
      <c r="U10" s="240"/>
      <c r="V10" s="240"/>
    </row>
    <row r="11" spans="1:22" s="158" customFormat="1" ht="54.75" customHeight="1">
      <c r="A11" s="192" t="s">
        <v>106</v>
      </c>
      <c r="B11" s="186" t="s">
        <v>501</v>
      </c>
      <c r="C11" s="193" t="s">
        <v>502</v>
      </c>
      <c r="D11" s="194" t="s">
        <v>466</v>
      </c>
      <c r="E11" s="195">
        <v>386014.75</v>
      </c>
      <c r="F11" s="196">
        <v>0.79</v>
      </c>
      <c r="G11" s="191">
        <v>1.01</v>
      </c>
      <c r="H11" s="191">
        <v>389874.89</v>
      </c>
      <c r="I11" s="245">
        <f t="shared" si="0"/>
        <v>0.10391223664500632</v>
      </c>
      <c r="J11" s="247">
        <f aca="true" t="shared" si="2" ref="J11:J69">J10+I11</f>
        <v>0.2741981276671469</v>
      </c>
      <c r="K11" s="244">
        <f t="shared" si="1"/>
        <v>193007.38</v>
      </c>
      <c r="L11" s="248"/>
      <c r="M11" s="239"/>
      <c r="N11" s="240"/>
      <c r="O11" s="240"/>
      <c r="P11" s="240"/>
      <c r="Q11" s="240"/>
      <c r="R11" s="240"/>
      <c r="S11" s="262"/>
      <c r="T11" s="240"/>
      <c r="U11" s="240"/>
      <c r="V11" s="240"/>
    </row>
    <row r="12" spans="1:22" s="158" customFormat="1" ht="54.75" customHeight="1">
      <c r="A12" s="192" t="s">
        <v>519</v>
      </c>
      <c r="B12" s="197" t="s">
        <v>520</v>
      </c>
      <c r="C12" s="198" t="s">
        <v>521</v>
      </c>
      <c r="D12" s="199" t="s">
        <v>484</v>
      </c>
      <c r="E12" s="200">
        <v>3860.15</v>
      </c>
      <c r="F12" s="201">
        <v>66.02</v>
      </c>
      <c r="G12" s="202">
        <v>85.04</v>
      </c>
      <c r="H12" s="202">
        <v>328267.15</v>
      </c>
      <c r="I12" s="247">
        <f t="shared" si="0"/>
        <v>0.08749210233462788</v>
      </c>
      <c r="J12" s="247">
        <f t="shared" si="2"/>
        <v>0.3616902300017748</v>
      </c>
      <c r="K12" s="244">
        <f t="shared" si="1"/>
        <v>1930.08</v>
      </c>
      <c r="L12" s="238"/>
      <c r="M12" s="239"/>
      <c r="N12" s="240"/>
      <c r="O12" s="240"/>
      <c r="P12" s="240"/>
      <c r="Q12" s="240"/>
      <c r="R12" s="240"/>
      <c r="S12" s="262"/>
      <c r="T12" s="240"/>
      <c r="U12" s="240"/>
      <c r="V12" s="240"/>
    </row>
    <row r="13" spans="1:22" s="158" customFormat="1" ht="33" customHeight="1">
      <c r="A13" s="203" t="s">
        <v>10</v>
      </c>
      <c r="B13" s="204" t="s">
        <v>460</v>
      </c>
      <c r="C13" s="205" t="s">
        <v>461</v>
      </c>
      <c r="D13" s="206" t="s">
        <v>315</v>
      </c>
      <c r="E13" s="207">
        <v>12</v>
      </c>
      <c r="F13" s="201">
        <v>18345.65</v>
      </c>
      <c r="G13" s="208">
        <v>23632.86</v>
      </c>
      <c r="H13" s="208">
        <v>283594.32</v>
      </c>
      <c r="I13" s="247">
        <f t="shared" si="0"/>
        <v>0.07558558103349422</v>
      </c>
      <c r="J13" s="247">
        <f t="shared" si="2"/>
        <v>0.437275811035269</v>
      </c>
      <c r="K13" s="244">
        <f t="shared" si="1"/>
        <v>6</v>
      </c>
      <c r="L13" s="238"/>
      <c r="M13" s="239"/>
      <c r="N13" s="240"/>
      <c r="O13" s="240"/>
      <c r="P13" s="240"/>
      <c r="Q13" s="240"/>
      <c r="R13" s="240"/>
      <c r="S13" s="262"/>
      <c r="T13" s="240"/>
      <c r="U13" s="240"/>
      <c r="V13" s="240"/>
    </row>
    <row r="14" spans="1:22" s="158" customFormat="1" ht="60.75" customHeight="1">
      <c r="A14" s="192" t="s">
        <v>554</v>
      </c>
      <c r="B14" s="197" t="s">
        <v>555</v>
      </c>
      <c r="C14" s="209" t="s">
        <v>556</v>
      </c>
      <c r="D14" s="199" t="s">
        <v>484</v>
      </c>
      <c r="E14" s="200">
        <v>1853.39</v>
      </c>
      <c r="F14" s="202">
        <v>100.02</v>
      </c>
      <c r="G14" s="202">
        <v>128.84</v>
      </c>
      <c r="H14" s="202">
        <v>238790.76</v>
      </c>
      <c r="I14" s="247">
        <f t="shared" si="0"/>
        <v>0.06364421664026865</v>
      </c>
      <c r="J14" s="247">
        <f t="shared" si="2"/>
        <v>0.5009200276755377</v>
      </c>
      <c r="K14" s="244">
        <f t="shared" si="1"/>
        <v>926.7</v>
      </c>
      <c r="L14" s="238"/>
      <c r="M14" s="240"/>
      <c r="N14" s="240"/>
      <c r="O14" s="240"/>
      <c r="P14" s="240"/>
      <c r="Q14" s="240"/>
      <c r="R14" s="240"/>
      <c r="S14" s="262"/>
      <c r="T14" s="240"/>
      <c r="U14" s="240"/>
      <c r="V14" s="240"/>
    </row>
    <row r="15" spans="1:22" s="158" customFormat="1" ht="54.75" customHeight="1">
      <c r="A15" s="203" t="s">
        <v>557</v>
      </c>
      <c r="B15" s="197" t="s">
        <v>558</v>
      </c>
      <c r="C15" s="198" t="s">
        <v>559</v>
      </c>
      <c r="D15" s="199" t="s">
        <v>466</v>
      </c>
      <c r="E15" s="210">
        <v>2337.5</v>
      </c>
      <c r="F15" s="202">
        <v>62.72</v>
      </c>
      <c r="G15" s="202">
        <v>80.79</v>
      </c>
      <c r="H15" s="202">
        <v>188846.62</v>
      </c>
      <c r="I15" s="247">
        <f t="shared" si="0"/>
        <v>0.050332748197888764</v>
      </c>
      <c r="J15" s="247">
        <f t="shared" si="2"/>
        <v>0.5512527758734265</v>
      </c>
      <c r="K15" s="244">
        <f t="shared" si="1"/>
        <v>1168.75</v>
      </c>
      <c r="L15" s="249">
        <f>I15+I10</f>
        <v>0.2206186392200294</v>
      </c>
      <c r="M15" s="240"/>
      <c r="N15" s="240"/>
      <c r="O15" s="240"/>
      <c r="P15" s="240"/>
      <c r="Q15" s="240"/>
      <c r="R15" s="240"/>
      <c r="S15" s="262"/>
      <c r="T15" s="240"/>
      <c r="U15" s="240"/>
      <c r="V15" s="240"/>
    </row>
    <row r="16" spans="1:22" s="158" customFormat="1" ht="39.75" customHeight="1">
      <c r="A16" s="38" t="s">
        <v>83</v>
      </c>
      <c r="B16" s="40" t="s">
        <v>487</v>
      </c>
      <c r="C16" s="211" t="s">
        <v>488</v>
      </c>
      <c r="D16" s="47" t="s">
        <v>466</v>
      </c>
      <c r="E16" s="50">
        <v>7920</v>
      </c>
      <c r="F16" s="34">
        <v>18.36</v>
      </c>
      <c r="G16" s="34">
        <v>23.65</v>
      </c>
      <c r="H16" s="34">
        <v>187308</v>
      </c>
      <c r="I16" s="250">
        <f t="shared" si="0"/>
        <v>0.049922664220573024</v>
      </c>
      <c r="J16" s="250">
        <f t="shared" si="2"/>
        <v>0.6011754400939995</v>
      </c>
      <c r="K16" s="244">
        <f t="shared" si="1"/>
        <v>3960</v>
      </c>
      <c r="L16" s="251"/>
      <c r="M16" s="240"/>
      <c r="N16" s="240"/>
      <c r="O16" s="240"/>
      <c r="P16" s="252"/>
      <c r="Q16" s="240"/>
      <c r="R16" s="240"/>
      <c r="S16" s="262"/>
      <c r="T16" s="240"/>
      <c r="U16" s="240"/>
      <c r="V16" s="240"/>
    </row>
    <row r="17" spans="1:22" s="158" customFormat="1" ht="40.5" customHeight="1">
      <c r="A17" s="47" t="s">
        <v>537</v>
      </c>
      <c r="B17" s="40" t="s">
        <v>538</v>
      </c>
      <c r="C17" s="211" t="s">
        <v>692</v>
      </c>
      <c r="D17" s="47" t="s">
        <v>401</v>
      </c>
      <c r="E17" s="212">
        <v>67320</v>
      </c>
      <c r="F17" s="34">
        <v>2.07</v>
      </c>
      <c r="G17" s="34">
        <v>2.66</v>
      </c>
      <c r="H17" s="34">
        <v>179071.2</v>
      </c>
      <c r="I17" s="250">
        <f t="shared" si="0"/>
        <v>0.04772733353180364</v>
      </c>
      <c r="J17" s="250">
        <f t="shared" si="2"/>
        <v>0.6489027736258031</v>
      </c>
      <c r="K17" s="244">
        <f t="shared" si="1"/>
        <v>33660</v>
      </c>
      <c r="L17" s="253"/>
      <c r="M17" s="240"/>
      <c r="N17" s="240"/>
      <c r="O17" s="240"/>
      <c r="P17" s="252"/>
      <c r="Q17" s="240"/>
      <c r="R17" s="240"/>
      <c r="S17" s="262"/>
      <c r="T17" s="240"/>
      <c r="U17" s="240"/>
      <c r="V17" s="240"/>
    </row>
    <row r="18" spans="1:22" s="158" customFormat="1" ht="33.75" customHeight="1">
      <c r="A18" s="47" t="s">
        <v>89</v>
      </c>
      <c r="B18" s="40" t="s">
        <v>491</v>
      </c>
      <c r="C18" s="213" t="s">
        <v>492</v>
      </c>
      <c r="D18" s="47" t="s">
        <v>466</v>
      </c>
      <c r="E18" s="50">
        <v>7920</v>
      </c>
      <c r="F18" s="214">
        <v>12.28</v>
      </c>
      <c r="G18" s="34">
        <v>15.81</v>
      </c>
      <c r="H18" s="34">
        <v>125215.2</v>
      </c>
      <c r="I18" s="250">
        <f t="shared" si="0"/>
        <v>0.03337324825908074</v>
      </c>
      <c r="J18" s="250">
        <f t="shared" si="2"/>
        <v>0.6822760218848838</v>
      </c>
      <c r="K18" s="244">
        <f t="shared" si="1"/>
        <v>3960</v>
      </c>
      <c r="L18" s="254"/>
      <c r="M18" s="240"/>
      <c r="N18" s="240"/>
      <c r="O18" s="240"/>
      <c r="P18" s="252"/>
      <c r="Q18" s="240"/>
      <c r="R18" s="240"/>
      <c r="S18" s="262"/>
      <c r="T18" s="240"/>
      <c r="U18" s="240"/>
      <c r="V18" s="240"/>
    </row>
    <row r="19" spans="1:22" s="158" customFormat="1" ht="34.5" customHeight="1">
      <c r="A19" s="47" t="s">
        <v>112</v>
      </c>
      <c r="B19" s="40" t="s">
        <v>505</v>
      </c>
      <c r="C19" s="213" t="s">
        <v>506</v>
      </c>
      <c r="D19" s="47" t="s">
        <v>484</v>
      </c>
      <c r="E19" s="50">
        <v>3094.58</v>
      </c>
      <c r="F19" s="34">
        <v>31.06</v>
      </c>
      <c r="G19" s="34">
        <v>40.01</v>
      </c>
      <c r="H19" s="34">
        <v>123814.14</v>
      </c>
      <c r="I19" s="250">
        <f t="shared" si="0"/>
        <v>0.032999827754175044</v>
      </c>
      <c r="J19" s="250">
        <f t="shared" si="2"/>
        <v>0.7152758496390589</v>
      </c>
      <c r="K19" s="244">
        <f t="shared" si="1"/>
        <v>1547.29</v>
      </c>
      <c r="L19" s="254"/>
      <c r="M19" s="240"/>
      <c r="N19" s="240"/>
      <c r="O19" s="240"/>
      <c r="P19" s="252"/>
      <c r="Q19" s="240"/>
      <c r="R19" s="240"/>
      <c r="S19" s="262"/>
      <c r="T19" s="240"/>
      <c r="U19" s="240"/>
      <c r="V19" s="240"/>
    </row>
    <row r="20" spans="1:22" s="158" customFormat="1" ht="69.75" customHeight="1">
      <c r="A20" s="47" t="s">
        <v>138</v>
      </c>
      <c r="B20" s="40" t="s">
        <v>535</v>
      </c>
      <c r="C20" s="211" t="s">
        <v>536</v>
      </c>
      <c r="D20" s="47" t="s">
        <v>484</v>
      </c>
      <c r="E20" s="50">
        <v>396</v>
      </c>
      <c r="F20" s="34">
        <v>155.08</v>
      </c>
      <c r="G20" s="34">
        <v>199.77</v>
      </c>
      <c r="H20" s="34">
        <v>79108.92</v>
      </c>
      <c r="I20" s="250">
        <f t="shared" si="0"/>
        <v>0.021084673639204805</v>
      </c>
      <c r="J20" s="250">
        <f t="shared" si="2"/>
        <v>0.7363605232782637</v>
      </c>
      <c r="K20" s="244">
        <f t="shared" si="1"/>
        <v>198</v>
      </c>
      <c r="L20" s="254"/>
      <c r="M20" s="240"/>
      <c r="N20" s="240"/>
      <c r="O20" s="240"/>
      <c r="P20" s="252"/>
      <c r="Q20" s="240"/>
      <c r="R20" s="240"/>
      <c r="S20" s="262"/>
      <c r="T20" s="240"/>
      <c r="U20" s="240"/>
      <c r="V20" s="240"/>
    </row>
    <row r="21" spans="1:22" s="158" customFormat="1" ht="42" customHeight="1">
      <c r="A21" s="47" t="s">
        <v>227</v>
      </c>
      <c r="B21" s="30" t="s">
        <v>614</v>
      </c>
      <c r="C21" s="213" t="s">
        <v>693</v>
      </c>
      <c r="D21" s="215" t="s">
        <v>616</v>
      </c>
      <c r="E21" s="216">
        <v>1200</v>
      </c>
      <c r="F21" s="34">
        <v>47.26</v>
      </c>
      <c r="G21" s="34">
        <v>60.88</v>
      </c>
      <c r="H21" s="35">
        <v>73056</v>
      </c>
      <c r="I21" s="250">
        <f t="shared" si="0"/>
        <v>0.019471406225565285</v>
      </c>
      <c r="J21" s="250">
        <f t="shared" si="2"/>
        <v>0.755831929503829</v>
      </c>
      <c r="K21" s="244">
        <f t="shared" si="1"/>
        <v>600</v>
      </c>
      <c r="L21" s="254"/>
      <c r="M21" s="240"/>
      <c r="N21" s="240"/>
      <c r="O21" s="240"/>
      <c r="P21" s="252"/>
      <c r="Q21" s="240"/>
      <c r="R21" s="240"/>
      <c r="S21" s="262"/>
      <c r="T21" s="240"/>
      <c r="U21" s="240"/>
      <c r="V21" s="240"/>
    </row>
    <row r="22" spans="1:22" s="158" customFormat="1" ht="42.75" customHeight="1">
      <c r="A22" s="47" t="s">
        <v>118</v>
      </c>
      <c r="B22" s="40" t="s">
        <v>509</v>
      </c>
      <c r="C22" s="213" t="s">
        <v>510</v>
      </c>
      <c r="D22" s="47" t="s">
        <v>484</v>
      </c>
      <c r="E22" s="50">
        <v>1237.83</v>
      </c>
      <c r="F22" s="214">
        <v>41.16</v>
      </c>
      <c r="G22" s="34">
        <v>53.02</v>
      </c>
      <c r="H22" s="34">
        <v>65629.74</v>
      </c>
      <c r="I22" s="250">
        <f t="shared" si="0"/>
        <v>0.01749210643914574</v>
      </c>
      <c r="J22" s="250">
        <f t="shared" si="2"/>
        <v>0.7733240359429748</v>
      </c>
      <c r="K22" s="244">
        <f t="shared" si="1"/>
        <v>618.92</v>
      </c>
      <c r="L22" s="254"/>
      <c r="M22" s="240"/>
      <c r="N22" s="240"/>
      <c r="O22" s="240"/>
      <c r="P22" s="252"/>
      <c r="Q22" s="240"/>
      <c r="R22" s="240"/>
      <c r="S22" s="262"/>
      <c r="T22" s="240"/>
      <c r="U22" s="240"/>
      <c r="V22" s="240"/>
    </row>
    <row r="23" spans="1:22" s="158" customFormat="1" ht="57" customHeight="1">
      <c r="A23" s="47" t="s">
        <v>231</v>
      </c>
      <c r="B23" s="40" t="s">
        <v>617</v>
      </c>
      <c r="C23" s="213" t="s">
        <v>618</v>
      </c>
      <c r="D23" s="47" t="s">
        <v>616</v>
      </c>
      <c r="E23" s="212">
        <v>1200</v>
      </c>
      <c r="F23" s="214">
        <v>42.4</v>
      </c>
      <c r="G23" s="34">
        <v>54.61</v>
      </c>
      <c r="H23" s="34">
        <v>65532</v>
      </c>
      <c r="I23" s="250">
        <f t="shared" si="0"/>
        <v>0.017466056077170177</v>
      </c>
      <c r="J23" s="250">
        <f t="shared" si="2"/>
        <v>0.790790092020145</v>
      </c>
      <c r="K23" s="244">
        <f t="shared" si="1"/>
        <v>600</v>
      </c>
      <c r="L23" s="254"/>
      <c r="M23" s="240"/>
      <c r="N23" s="240"/>
      <c r="O23" s="240"/>
      <c r="P23" s="252"/>
      <c r="Q23" s="240"/>
      <c r="R23" s="240"/>
      <c r="S23" s="262"/>
      <c r="T23" s="240"/>
      <c r="U23" s="240"/>
      <c r="V23" s="240"/>
    </row>
    <row r="24" spans="1:22" s="158" customFormat="1" ht="27" customHeight="1">
      <c r="A24" s="47" t="s">
        <v>109</v>
      </c>
      <c r="B24" s="30" t="s">
        <v>503</v>
      </c>
      <c r="C24" s="31" t="s">
        <v>504</v>
      </c>
      <c r="D24" s="215" t="s">
        <v>484</v>
      </c>
      <c r="E24" s="216">
        <v>1619.64</v>
      </c>
      <c r="F24" s="34">
        <v>31.06</v>
      </c>
      <c r="G24" s="34">
        <v>40.01</v>
      </c>
      <c r="H24" s="35">
        <v>64801.79</v>
      </c>
      <c r="I24" s="250">
        <f t="shared" si="0"/>
        <v>0.01727143529941106</v>
      </c>
      <c r="J24" s="250">
        <f t="shared" si="2"/>
        <v>0.8080615273195562</v>
      </c>
      <c r="K24" s="244">
        <f t="shared" si="1"/>
        <v>809.82</v>
      </c>
      <c r="L24" s="238"/>
      <c r="M24" s="240"/>
      <c r="N24" s="240"/>
      <c r="O24" s="240"/>
      <c r="P24" s="252"/>
      <c r="Q24" s="240"/>
      <c r="R24" s="240"/>
      <c r="S24" s="262"/>
      <c r="T24" s="240"/>
      <c r="U24" s="240"/>
      <c r="V24" s="240"/>
    </row>
    <row r="25" spans="1:22" s="158" customFormat="1" ht="48" customHeight="1">
      <c r="A25" s="47" t="s">
        <v>126</v>
      </c>
      <c r="B25" s="40" t="s">
        <v>527</v>
      </c>
      <c r="C25" s="211" t="s">
        <v>528</v>
      </c>
      <c r="D25" s="47" t="s">
        <v>466</v>
      </c>
      <c r="E25" s="50">
        <v>800</v>
      </c>
      <c r="F25" s="34">
        <v>62.67</v>
      </c>
      <c r="G25" s="34">
        <v>80.73</v>
      </c>
      <c r="H25" s="34">
        <v>64584</v>
      </c>
      <c r="I25" s="250">
        <f t="shared" si="0"/>
        <v>0.017213388355123583</v>
      </c>
      <c r="J25" s="250">
        <f t="shared" si="2"/>
        <v>0.8252749156746797</v>
      </c>
      <c r="K25" s="244">
        <f t="shared" si="1"/>
        <v>400</v>
      </c>
      <c r="L25" s="238"/>
      <c r="M25" s="240"/>
      <c r="N25" s="240"/>
      <c r="O25" s="240"/>
      <c r="P25" s="252"/>
      <c r="Q25" s="240"/>
      <c r="R25" s="240"/>
      <c r="S25" s="262"/>
      <c r="T25" s="240"/>
      <c r="U25" s="240"/>
      <c r="V25" s="240"/>
    </row>
    <row r="26" spans="1:22" s="158" customFormat="1" ht="48" customHeight="1">
      <c r="A26" s="47" t="s">
        <v>513</v>
      </c>
      <c r="B26" s="40" t="s">
        <v>514</v>
      </c>
      <c r="C26" s="211" t="s">
        <v>515</v>
      </c>
      <c r="D26" s="47" t="s">
        <v>484</v>
      </c>
      <c r="E26" s="50">
        <v>928.37</v>
      </c>
      <c r="F26" s="34">
        <v>48.54</v>
      </c>
      <c r="G26" s="34">
        <v>62.52</v>
      </c>
      <c r="H26" s="34">
        <v>58041.69</v>
      </c>
      <c r="I26" s="250">
        <f t="shared" si="0"/>
        <v>0.015469685227884507</v>
      </c>
      <c r="J26" s="250">
        <f t="shared" si="2"/>
        <v>0.8407446009025642</v>
      </c>
      <c r="K26" s="244">
        <f t="shared" si="1"/>
        <v>464.19</v>
      </c>
      <c r="L26" s="238"/>
      <c r="M26" s="255"/>
      <c r="N26" s="256"/>
      <c r="O26" s="240"/>
      <c r="P26" s="252"/>
      <c r="Q26" s="240"/>
      <c r="R26" s="240"/>
      <c r="S26" s="263"/>
      <c r="T26" s="240"/>
      <c r="U26" s="240"/>
      <c r="V26" s="240"/>
    </row>
    <row r="27" spans="1:22" s="158" customFormat="1" ht="42" customHeight="1">
      <c r="A27" s="47" t="s">
        <v>522</v>
      </c>
      <c r="B27" s="40" t="s">
        <v>523</v>
      </c>
      <c r="C27" s="213" t="s">
        <v>524</v>
      </c>
      <c r="D27" s="47" t="s">
        <v>484</v>
      </c>
      <c r="E27" s="212">
        <v>965.04</v>
      </c>
      <c r="F27" s="214">
        <v>43.86</v>
      </c>
      <c r="G27" s="34">
        <v>56.5</v>
      </c>
      <c r="H27" s="34">
        <v>54524.76</v>
      </c>
      <c r="I27" s="250">
        <f t="shared" si="0"/>
        <v>0.014532327958161591</v>
      </c>
      <c r="J27" s="250">
        <f t="shared" si="2"/>
        <v>0.8552769288607258</v>
      </c>
      <c r="K27" s="244">
        <f t="shared" si="1"/>
        <v>482.52</v>
      </c>
      <c r="L27" s="238"/>
      <c r="M27" s="255"/>
      <c r="N27" s="256"/>
      <c r="O27" s="240"/>
      <c r="P27" s="240"/>
      <c r="Q27" s="240"/>
      <c r="R27" s="240"/>
      <c r="S27" s="263"/>
      <c r="T27" s="240"/>
      <c r="U27" s="240"/>
      <c r="V27" s="240"/>
    </row>
    <row r="28" spans="1:22" s="158" customFormat="1" ht="42.75" customHeight="1">
      <c r="A28" s="47" t="s">
        <v>141</v>
      </c>
      <c r="B28" s="40" t="s">
        <v>540</v>
      </c>
      <c r="C28" s="211" t="s">
        <v>541</v>
      </c>
      <c r="D28" s="47" t="s">
        <v>484</v>
      </c>
      <c r="E28" s="50">
        <v>396</v>
      </c>
      <c r="F28" s="34">
        <v>104.39</v>
      </c>
      <c r="G28" s="34">
        <v>134.47</v>
      </c>
      <c r="H28" s="34">
        <v>53250.12</v>
      </c>
      <c r="I28" s="250">
        <f t="shared" si="0"/>
        <v>0.014192601813404766</v>
      </c>
      <c r="J28" s="250">
        <f t="shared" si="2"/>
        <v>0.8694695306741306</v>
      </c>
      <c r="K28" s="244">
        <f t="shared" si="1"/>
        <v>198</v>
      </c>
      <c r="L28" s="238"/>
      <c r="M28" s="255"/>
      <c r="N28" s="256"/>
      <c r="O28" s="240"/>
      <c r="P28" s="240"/>
      <c r="Q28" s="240"/>
      <c r="R28" s="240"/>
      <c r="S28" s="263"/>
      <c r="T28" s="240"/>
      <c r="U28" s="240"/>
      <c r="V28" s="240"/>
    </row>
    <row r="29" spans="1:22" s="158" customFormat="1" ht="49.5" customHeight="1">
      <c r="A29" s="47" t="s">
        <v>135</v>
      </c>
      <c r="B29" s="86" t="s">
        <v>533</v>
      </c>
      <c r="C29" s="213" t="s">
        <v>534</v>
      </c>
      <c r="D29" s="47" t="s">
        <v>495</v>
      </c>
      <c r="E29" s="212">
        <v>1260</v>
      </c>
      <c r="F29" s="214">
        <v>24</v>
      </c>
      <c r="G29" s="34">
        <v>30.91</v>
      </c>
      <c r="H29" s="34">
        <v>38946.6</v>
      </c>
      <c r="I29" s="250">
        <f t="shared" si="0"/>
        <v>0.010380325636561008</v>
      </c>
      <c r="J29" s="250">
        <f t="shared" si="2"/>
        <v>0.8798498563106916</v>
      </c>
      <c r="K29" s="244">
        <f t="shared" si="1"/>
        <v>630</v>
      </c>
      <c r="L29" s="238"/>
      <c r="M29" s="255"/>
      <c r="N29" s="256"/>
      <c r="O29" s="240"/>
      <c r="P29" s="240"/>
      <c r="Q29" s="240"/>
      <c r="R29" s="240"/>
      <c r="S29" s="263"/>
      <c r="T29" s="240"/>
      <c r="U29" s="240"/>
      <c r="V29" s="240"/>
    </row>
    <row r="30" spans="1:22" s="158" customFormat="1" ht="69" customHeight="1">
      <c r="A30" s="47" t="s">
        <v>170</v>
      </c>
      <c r="B30" s="40" t="s">
        <v>598</v>
      </c>
      <c r="C30" s="211" t="s">
        <v>599</v>
      </c>
      <c r="D30" s="47" t="s">
        <v>495</v>
      </c>
      <c r="E30" s="50">
        <v>10</v>
      </c>
      <c r="F30" s="34">
        <v>2967.52</v>
      </c>
      <c r="G30" s="34">
        <v>3822.75</v>
      </c>
      <c r="H30" s="34">
        <v>38227.5</v>
      </c>
      <c r="I30" s="250">
        <f t="shared" si="0"/>
        <v>0.010188665975249082</v>
      </c>
      <c r="J30" s="250">
        <f t="shared" si="2"/>
        <v>0.8900385222859406</v>
      </c>
      <c r="K30" s="244">
        <f t="shared" si="1"/>
        <v>5</v>
      </c>
      <c r="L30" s="238"/>
      <c r="M30" s="255"/>
      <c r="N30" s="256"/>
      <c r="O30" s="240"/>
      <c r="P30" s="240"/>
      <c r="Q30" s="240"/>
      <c r="R30" s="240"/>
      <c r="S30" s="263"/>
      <c r="T30" s="240"/>
      <c r="U30" s="240"/>
      <c r="V30" s="240"/>
    </row>
    <row r="31" spans="1:22" s="158" customFormat="1" ht="57.75" customHeight="1">
      <c r="A31" s="47" t="s">
        <v>150</v>
      </c>
      <c r="B31" s="40" t="s">
        <v>546</v>
      </c>
      <c r="C31" s="213" t="s">
        <v>547</v>
      </c>
      <c r="D31" s="47" t="s">
        <v>466</v>
      </c>
      <c r="E31" s="50">
        <v>8276.4</v>
      </c>
      <c r="F31" s="34">
        <v>3.53</v>
      </c>
      <c r="G31" s="34">
        <v>4.54</v>
      </c>
      <c r="H31" s="34">
        <v>37574.85</v>
      </c>
      <c r="I31" s="250">
        <f t="shared" si="0"/>
        <v>0.010014717041922385</v>
      </c>
      <c r="J31" s="250">
        <f t="shared" si="2"/>
        <v>0.900053239327863</v>
      </c>
      <c r="K31" s="244">
        <f t="shared" si="1"/>
        <v>4138.2</v>
      </c>
      <c r="L31" s="238"/>
      <c r="M31" s="255"/>
      <c r="N31" s="256"/>
      <c r="O31" s="240"/>
      <c r="P31" s="240"/>
      <c r="Q31" s="240"/>
      <c r="R31" s="240"/>
      <c r="S31" s="263"/>
      <c r="T31" s="240"/>
      <c r="U31" s="240"/>
      <c r="V31" s="240"/>
    </row>
    <row r="32" spans="1:22" s="158" customFormat="1" ht="49.5" customHeight="1">
      <c r="A32" s="47" t="s">
        <v>121</v>
      </c>
      <c r="B32" s="40" t="s">
        <v>511</v>
      </c>
      <c r="C32" s="213" t="s">
        <v>512</v>
      </c>
      <c r="D32" s="47" t="s">
        <v>484</v>
      </c>
      <c r="E32" s="212">
        <v>618.92</v>
      </c>
      <c r="F32" s="214">
        <v>36.35</v>
      </c>
      <c r="G32" s="34">
        <v>46.82</v>
      </c>
      <c r="H32" s="34">
        <v>28977.83</v>
      </c>
      <c r="I32" s="250">
        <f t="shared" si="0"/>
        <v>0.007723377949317956</v>
      </c>
      <c r="J32" s="250">
        <f t="shared" si="2"/>
        <v>0.907776617277181</v>
      </c>
      <c r="K32" s="244">
        <f t="shared" si="1"/>
        <v>309.46</v>
      </c>
      <c r="L32" s="238"/>
      <c r="M32" s="240"/>
      <c r="N32" s="240"/>
      <c r="O32" s="240"/>
      <c r="P32" s="252"/>
      <c r="Q32" s="240"/>
      <c r="R32" s="240"/>
      <c r="S32" s="262"/>
      <c r="T32" s="240"/>
      <c r="U32" s="240"/>
      <c r="V32" s="240"/>
    </row>
    <row r="33" spans="1:22" s="158" customFormat="1" ht="66" customHeight="1">
      <c r="A33" s="47" t="s">
        <v>182</v>
      </c>
      <c r="B33" s="40" t="s">
        <v>606</v>
      </c>
      <c r="C33" s="213" t="s">
        <v>607</v>
      </c>
      <c r="D33" s="47" t="s">
        <v>495</v>
      </c>
      <c r="E33" s="50">
        <v>30</v>
      </c>
      <c r="F33" s="34">
        <v>665.58</v>
      </c>
      <c r="G33" s="34">
        <v>857.4</v>
      </c>
      <c r="H33" s="34">
        <v>25722</v>
      </c>
      <c r="I33" s="250">
        <f t="shared" si="0"/>
        <v>0.006855610914011037</v>
      </c>
      <c r="J33" s="250">
        <f t="shared" si="2"/>
        <v>0.9146322281911919</v>
      </c>
      <c r="K33" s="244">
        <f t="shared" si="1"/>
        <v>15</v>
      </c>
      <c r="L33" s="238"/>
      <c r="M33" s="240"/>
      <c r="N33" s="240"/>
      <c r="O33" s="240"/>
      <c r="P33" s="252"/>
      <c r="Q33" s="240"/>
      <c r="R33" s="240"/>
      <c r="S33" s="262"/>
      <c r="T33" s="240"/>
      <c r="U33" s="240"/>
      <c r="V33" s="240"/>
    </row>
    <row r="34" spans="1:22" s="158" customFormat="1" ht="43.5" customHeight="1">
      <c r="A34" s="47" t="s">
        <v>132</v>
      </c>
      <c r="B34" s="40" t="s">
        <v>531</v>
      </c>
      <c r="C34" s="211" t="s">
        <v>532</v>
      </c>
      <c r="D34" s="47" t="s">
        <v>495</v>
      </c>
      <c r="E34" s="50">
        <v>1260</v>
      </c>
      <c r="F34" s="34">
        <v>13.55</v>
      </c>
      <c r="G34" s="34">
        <v>17.45</v>
      </c>
      <c r="H34" s="34">
        <v>21987</v>
      </c>
      <c r="I34" s="250">
        <f t="shared" si="0"/>
        <v>0.005860132072403416</v>
      </c>
      <c r="J34" s="250">
        <f t="shared" si="2"/>
        <v>0.9204923602635954</v>
      </c>
      <c r="K34" s="244">
        <f t="shared" si="1"/>
        <v>630</v>
      </c>
      <c r="L34" s="238"/>
      <c r="M34" s="240"/>
      <c r="N34" s="240"/>
      <c r="O34" s="240"/>
      <c r="P34" s="252"/>
      <c r="Q34" s="240"/>
      <c r="R34" s="240"/>
      <c r="S34" s="262"/>
      <c r="T34" s="240"/>
      <c r="U34" s="240"/>
      <c r="V34" s="240"/>
    </row>
    <row r="35" spans="1:22" s="158" customFormat="1" ht="64.5" customHeight="1">
      <c r="A35" s="47" t="s">
        <v>179</v>
      </c>
      <c r="B35" s="40" t="s">
        <v>604</v>
      </c>
      <c r="C35" s="213" t="s">
        <v>605</v>
      </c>
      <c r="D35" s="47" t="s">
        <v>495</v>
      </c>
      <c r="E35" s="50">
        <v>40</v>
      </c>
      <c r="F35" s="34">
        <v>420.19</v>
      </c>
      <c r="G35" s="34">
        <v>541.28</v>
      </c>
      <c r="H35" s="34">
        <v>21651.2</v>
      </c>
      <c r="I35" s="250">
        <f t="shared" si="0"/>
        <v>0.005770632261155266</v>
      </c>
      <c r="J35" s="250">
        <f t="shared" si="2"/>
        <v>0.9262629925247506</v>
      </c>
      <c r="K35" s="244">
        <f t="shared" si="1"/>
        <v>20</v>
      </c>
      <c r="L35" s="238"/>
      <c r="M35" s="240"/>
      <c r="N35" s="240"/>
      <c r="O35" s="240"/>
      <c r="P35" s="252"/>
      <c r="Q35" s="240"/>
      <c r="R35" s="240"/>
      <c r="S35" s="262"/>
      <c r="T35" s="240"/>
      <c r="U35" s="240"/>
      <c r="V35" s="240"/>
    </row>
    <row r="36" spans="1:22" s="158" customFormat="1" ht="69.75" customHeight="1">
      <c r="A36" s="47" t="s">
        <v>167</v>
      </c>
      <c r="B36" s="40" t="s">
        <v>596</v>
      </c>
      <c r="C36" s="213" t="s">
        <v>597</v>
      </c>
      <c r="D36" s="47" t="s">
        <v>589</v>
      </c>
      <c r="E36" s="50">
        <v>10</v>
      </c>
      <c r="F36" s="34">
        <v>1586.09</v>
      </c>
      <c r="G36" s="34">
        <v>2043.2</v>
      </c>
      <c r="H36" s="34">
        <v>20432</v>
      </c>
      <c r="I36" s="250">
        <f t="shared" si="0"/>
        <v>0.005445682380649774</v>
      </c>
      <c r="J36" s="250">
        <f t="shared" si="2"/>
        <v>0.9317086749054004</v>
      </c>
      <c r="K36" s="244">
        <f t="shared" si="1"/>
        <v>5</v>
      </c>
      <c r="L36" s="238"/>
      <c r="M36" s="240"/>
      <c r="N36" s="240"/>
      <c r="O36" s="240"/>
      <c r="P36" s="252"/>
      <c r="Q36" s="240"/>
      <c r="R36" s="240"/>
      <c r="S36" s="262"/>
      <c r="T36" s="240"/>
      <c r="U36" s="240"/>
      <c r="V36" s="240"/>
    </row>
    <row r="37" spans="1:22" s="158" customFormat="1" ht="66.75" customHeight="1">
      <c r="A37" s="47" t="s">
        <v>573</v>
      </c>
      <c r="B37" s="40" t="s">
        <v>574</v>
      </c>
      <c r="C37" s="211" t="s">
        <v>575</v>
      </c>
      <c r="D37" s="47" t="s">
        <v>495</v>
      </c>
      <c r="E37" s="212">
        <v>560</v>
      </c>
      <c r="F37" s="34">
        <v>28.2</v>
      </c>
      <c r="G37" s="34">
        <v>36.32</v>
      </c>
      <c r="H37" s="34">
        <v>20339.2</v>
      </c>
      <c r="I37" s="250">
        <f t="shared" si="0"/>
        <v>0.005420948662711036</v>
      </c>
      <c r="J37" s="250">
        <f t="shared" si="2"/>
        <v>0.9371296235681115</v>
      </c>
      <c r="K37" s="244">
        <f t="shared" si="1"/>
        <v>280</v>
      </c>
      <c r="L37" s="238"/>
      <c r="M37" s="240"/>
      <c r="N37" s="240"/>
      <c r="O37" s="240"/>
      <c r="P37" s="252"/>
      <c r="Q37" s="240"/>
      <c r="R37" s="240"/>
      <c r="S37" s="262"/>
      <c r="T37" s="240"/>
      <c r="U37" s="240"/>
      <c r="V37" s="240"/>
    </row>
    <row r="38" spans="1:22" s="158" customFormat="1" ht="31.5">
      <c r="A38" s="47" t="s">
        <v>69</v>
      </c>
      <c r="B38" s="40" t="s">
        <v>469</v>
      </c>
      <c r="C38" s="213" t="s">
        <v>470</v>
      </c>
      <c r="D38" s="47" t="s">
        <v>471</v>
      </c>
      <c r="E38" s="212">
        <v>30</v>
      </c>
      <c r="F38" s="214">
        <v>458.39</v>
      </c>
      <c r="G38" s="34">
        <v>590.49</v>
      </c>
      <c r="H38" s="34">
        <v>17714.7</v>
      </c>
      <c r="I38" s="250">
        <f t="shared" si="0"/>
        <v>0.004721448202256097</v>
      </c>
      <c r="J38" s="250">
        <f t="shared" si="2"/>
        <v>0.9418510717703675</v>
      </c>
      <c r="K38" s="244">
        <f t="shared" si="1"/>
        <v>15</v>
      </c>
      <c r="L38" s="238"/>
      <c r="M38" s="240"/>
      <c r="N38" s="240"/>
      <c r="O38" s="240"/>
      <c r="P38" s="252"/>
      <c r="Q38" s="240"/>
      <c r="R38" s="240"/>
      <c r="S38" s="262"/>
      <c r="T38" s="240"/>
      <c r="U38" s="240"/>
      <c r="V38" s="240"/>
    </row>
    <row r="39" spans="1:22" s="158" customFormat="1" ht="42.75" customHeight="1">
      <c r="A39" s="47" t="s">
        <v>516</v>
      </c>
      <c r="B39" s="40" t="s">
        <v>517</v>
      </c>
      <c r="C39" s="217" t="s">
        <v>518</v>
      </c>
      <c r="D39" s="40" t="s">
        <v>484</v>
      </c>
      <c r="E39" s="41">
        <v>309</v>
      </c>
      <c r="F39" s="214">
        <v>43.86</v>
      </c>
      <c r="G39" s="34">
        <v>56.5</v>
      </c>
      <c r="H39" s="34">
        <v>17458.5</v>
      </c>
      <c r="I39" s="250">
        <f t="shared" si="0"/>
        <v>0.004653163950791606</v>
      </c>
      <c r="J39" s="250">
        <f t="shared" si="2"/>
        <v>0.9465042357211592</v>
      </c>
      <c r="K39" s="244">
        <f t="shared" si="1"/>
        <v>154.5</v>
      </c>
      <c r="L39" s="238"/>
      <c r="M39" s="240"/>
      <c r="N39" s="240"/>
      <c r="O39" s="240"/>
      <c r="P39" s="252"/>
      <c r="Q39" s="240"/>
      <c r="R39" s="240"/>
      <c r="S39" s="262"/>
      <c r="T39" s="240"/>
      <c r="U39" s="240"/>
      <c r="V39" s="240"/>
    </row>
    <row r="40" spans="1:22" s="158" customFormat="1" ht="36.75" customHeight="1">
      <c r="A40" s="47" t="s">
        <v>576</v>
      </c>
      <c r="B40" s="40" t="s">
        <v>577</v>
      </c>
      <c r="C40" s="211" t="s">
        <v>578</v>
      </c>
      <c r="D40" s="47" t="s">
        <v>466</v>
      </c>
      <c r="E40" s="212">
        <v>200</v>
      </c>
      <c r="F40" s="34">
        <v>66.09</v>
      </c>
      <c r="G40" s="34">
        <v>85.13</v>
      </c>
      <c r="H40" s="34">
        <v>17026</v>
      </c>
      <c r="I40" s="250">
        <f t="shared" si="0"/>
        <v>0.004537890965786172</v>
      </c>
      <c r="J40" s="250">
        <f t="shared" si="2"/>
        <v>0.9510421266869453</v>
      </c>
      <c r="K40" s="244">
        <f t="shared" si="1"/>
        <v>100</v>
      </c>
      <c r="L40" s="238"/>
      <c r="M40" s="240"/>
      <c r="N40" s="240"/>
      <c r="O40" s="240"/>
      <c r="P40" s="252"/>
      <c r="Q40" s="240"/>
      <c r="R40" s="240"/>
      <c r="S40" s="262"/>
      <c r="T40" s="240"/>
      <c r="U40" s="240"/>
      <c r="V40" s="240"/>
    </row>
    <row r="41" spans="1:22" s="158" customFormat="1" ht="40.5" customHeight="1">
      <c r="A41" s="47" t="s">
        <v>582</v>
      </c>
      <c r="B41" s="40" t="s">
        <v>583</v>
      </c>
      <c r="C41" s="211" t="s">
        <v>584</v>
      </c>
      <c r="D41" s="47" t="s">
        <v>495</v>
      </c>
      <c r="E41" s="212">
        <v>320</v>
      </c>
      <c r="F41" s="34">
        <v>31.55</v>
      </c>
      <c r="G41" s="34">
        <v>40.64</v>
      </c>
      <c r="H41" s="34">
        <v>13004.8</v>
      </c>
      <c r="I41" s="250">
        <f t="shared" si="0"/>
        <v>0.003466132058725244</v>
      </c>
      <c r="J41" s="250">
        <f t="shared" si="2"/>
        <v>0.9545082587456706</v>
      </c>
      <c r="K41" s="244">
        <f t="shared" si="1"/>
        <v>160</v>
      </c>
      <c r="M41" s="240"/>
      <c r="N41" s="240"/>
      <c r="O41" s="252"/>
      <c r="P41" s="240"/>
      <c r="Q41" s="240"/>
      <c r="R41" s="262"/>
      <c r="S41" s="240"/>
      <c r="T41" s="240"/>
      <c r="U41" s="240"/>
      <c r="V41" s="240"/>
    </row>
    <row r="42" spans="1:22" s="158" customFormat="1" ht="40.5" customHeight="1">
      <c r="A42" s="47" t="s">
        <v>63</v>
      </c>
      <c r="B42" s="40" t="s">
        <v>464</v>
      </c>
      <c r="C42" s="213" t="s">
        <v>465</v>
      </c>
      <c r="D42" s="47" t="s">
        <v>466</v>
      </c>
      <c r="E42" s="212">
        <v>24</v>
      </c>
      <c r="F42" s="34">
        <v>390.87</v>
      </c>
      <c r="G42" s="34">
        <v>503.51</v>
      </c>
      <c r="H42" s="34">
        <v>12084.24</v>
      </c>
      <c r="I42" s="250">
        <f t="shared" si="0"/>
        <v>0.0032207778412070886</v>
      </c>
      <c r="J42" s="250">
        <f t="shared" si="2"/>
        <v>0.9577290365868777</v>
      </c>
      <c r="K42" s="244">
        <f t="shared" si="1"/>
        <v>12</v>
      </c>
      <c r="L42" s="238"/>
      <c r="M42" s="240"/>
      <c r="N42" s="240"/>
      <c r="O42" s="240"/>
      <c r="P42" s="252"/>
      <c r="Q42" s="240"/>
      <c r="R42" s="240"/>
      <c r="S42" s="262"/>
      <c r="T42" s="240"/>
      <c r="U42" s="240"/>
      <c r="V42" s="240"/>
    </row>
    <row r="43" spans="1:22" s="158" customFormat="1" ht="78" customHeight="1">
      <c r="A43" s="47" t="s">
        <v>560</v>
      </c>
      <c r="B43" s="38" t="s">
        <v>561</v>
      </c>
      <c r="C43" s="218" t="s">
        <v>694</v>
      </c>
      <c r="D43" s="40" t="s">
        <v>484</v>
      </c>
      <c r="E43" s="41">
        <v>17.82</v>
      </c>
      <c r="F43" s="214">
        <v>508.77</v>
      </c>
      <c r="G43" s="34">
        <v>655.39</v>
      </c>
      <c r="H43" s="34">
        <v>11679.04</v>
      </c>
      <c r="I43" s="250">
        <f t="shared" si="0"/>
        <v>0.0031127810469314776</v>
      </c>
      <c r="J43" s="250">
        <f t="shared" si="2"/>
        <v>0.9608418176338092</v>
      </c>
      <c r="K43" s="244">
        <f t="shared" si="1"/>
        <v>8.91</v>
      </c>
      <c r="L43" s="238"/>
      <c r="M43" s="240"/>
      <c r="N43" s="240"/>
      <c r="O43" s="240"/>
      <c r="P43" s="252"/>
      <c r="Q43" s="240"/>
      <c r="R43" s="240"/>
      <c r="S43" s="262"/>
      <c r="T43" s="240"/>
      <c r="U43" s="240"/>
      <c r="V43" s="240"/>
    </row>
    <row r="44" spans="1:22" s="158" customFormat="1" ht="72.75" customHeight="1">
      <c r="A44" s="47" t="s">
        <v>176</v>
      </c>
      <c r="B44" s="40" t="s">
        <v>602</v>
      </c>
      <c r="C44" s="211" t="s">
        <v>603</v>
      </c>
      <c r="D44" s="47" t="s">
        <v>495</v>
      </c>
      <c r="E44" s="50">
        <v>30</v>
      </c>
      <c r="F44" s="34">
        <v>274.76</v>
      </c>
      <c r="G44" s="34">
        <v>353.94</v>
      </c>
      <c r="H44" s="34">
        <v>10618.2</v>
      </c>
      <c r="I44" s="250">
        <f t="shared" si="0"/>
        <v>0.002830038403201617</v>
      </c>
      <c r="J44" s="250">
        <f t="shared" si="2"/>
        <v>0.9636718560370108</v>
      </c>
      <c r="K44" s="244">
        <f t="shared" si="1"/>
        <v>15</v>
      </c>
      <c r="L44" s="238"/>
      <c r="M44" s="240"/>
      <c r="N44" s="240"/>
      <c r="O44" s="240"/>
      <c r="P44" s="252"/>
      <c r="Q44" s="240"/>
      <c r="R44" s="240"/>
      <c r="S44" s="262"/>
      <c r="T44" s="240"/>
      <c r="U44" s="240"/>
      <c r="V44" s="240"/>
    </row>
    <row r="45" spans="1:22" s="158" customFormat="1" ht="57.75" customHeight="1">
      <c r="A45" s="47" t="s">
        <v>66</v>
      </c>
      <c r="B45" s="219" t="s">
        <v>467</v>
      </c>
      <c r="C45" s="211" t="s">
        <v>468</v>
      </c>
      <c r="D45" s="47" t="s">
        <v>466</v>
      </c>
      <c r="E45" s="50">
        <v>20</v>
      </c>
      <c r="F45" s="34">
        <v>410.01</v>
      </c>
      <c r="G45" s="34">
        <v>528.17</v>
      </c>
      <c r="H45" s="34">
        <v>10563.4</v>
      </c>
      <c r="I45" s="250">
        <f t="shared" si="0"/>
        <v>0.002815432716315379</v>
      </c>
      <c r="J45" s="250">
        <f t="shared" si="2"/>
        <v>0.9664872887533261</v>
      </c>
      <c r="K45" s="244">
        <f t="shared" si="1"/>
        <v>10</v>
      </c>
      <c r="L45" s="238"/>
      <c r="M45" s="240"/>
      <c r="N45" s="240"/>
      <c r="O45" s="240"/>
      <c r="P45" s="252"/>
      <c r="Q45" s="240"/>
      <c r="R45" s="240"/>
      <c r="S45" s="262"/>
      <c r="T45" s="240"/>
      <c r="U45" s="240"/>
      <c r="V45" s="240"/>
    </row>
    <row r="46" spans="1:22" s="158" customFormat="1" ht="69" customHeight="1">
      <c r="A46" s="47" t="s">
        <v>164</v>
      </c>
      <c r="B46" s="40" t="s">
        <v>594</v>
      </c>
      <c r="C46" s="211" t="s">
        <v>595</v>
      </c>
      <c r="D46" s="47" t="s">
        <v>589</v>
      </c>
      <c r="E46" s="212">
        <v>10</v>
      </c>
      <c r="F46" s="34">
        <v>804.75</v>
      </c>
      <c r="G46" s="34">
        <v>1036.67</v>
      </c>
      <c r="H46" s="34">
        <v>10366.7</v>
      </c>
      <c r="I46" s="250">
        <f t="shared" si="0"/>
        <v>0.002763006829262041</v>
      </c>
      <c r="J46" s="250">
        <f t="shared" si="2"/>
        <v>0.9692502955825881</v>
      </c>
      <c r="K46" s="244">
        <f t="shared" si="1"/>
        <v>5</v>
      </c>
      <c r="L46" s="238"/>
      <c r="M46" s="240"/>
      <c r="N46" s="240"/>
      <c r="O46" s="240"/>
      <c r="P46" s="252"/>
      <c r="Q46" s="240"/>
      <c r="R46" s="240"/>
      <c r="S46" s="262"/>
      <c r="T46" s="240"/>
      <c r="U46" s="240"/>
      <c r="V46" s="240"/>
    </row>
    <row r="47" spans="1:22" s="158" customFormat="1" ht="42" customHeight="1">
      <c r="A47" s="47" t="s">
        <v>548</v>
      </c>
      <c r="B47" s="40" t="s">
        <v>549</v>
      </c>
      <c r="C47" s="213" t="s">
        <v>550</v>
      </c>
      <c r="D47" s="47" t="s">
        <v>401</v>
      </c>
      <c r="E47" s="50">
        <v>4138.2</v>
      </c>
      <c r="F47" s="34">
        <v>1.85</v>
      </c>
      <c r="G47" s="34">
        <v>2.38</v>
      </c>
      <c r="H47" s="34">
        <v>9848.91</v>
      </c>
      <c r="I47" s="250">
        <f t="shared" si="0"/>
        <v>0.0026250017450864024</v>
      </c>
      <c r="J47" s="250">
        <f t="shared" si="2"/>
        <v>0.9718752973276745</v>
      </c>
      <c r="K47" s="244">
        <f t="shared" si="1"/>
        <v>2069.1</v>
      </c>
      <c r="L47" s="238"/>
      <c r="M47" s="240"/>
      <c r="N47" s="240"/>
      <c r="O47" s="240"/>
      <c r="P47" s="252"/>
      <c r="Q47" s="240"/>
      <c r="R47" s="240"/>
      <c r="S47" s="262"/>
      <c r="T47" s="240"/>
      <c r="U47" s="240"/>
      <c r="V47" s="240"/>
    </row>
    <row r="48" spans="1:22" s="158" customFormat="1" ht="31.5" customHeight="1">
      <c r="A48" s="47" t="s">
        <v>80</v>
      </c>
      <c r="B48" s="40" t="s">
        <v>485</v>
      </c>
      <c r="C48" s="217" t="s">
        <v>486</v>
      </c>
      <c r="D48" s="40" t="s">
        <v>484</v>
      </c>
      <c r="E48" s="41">
        <v>26.1</v>
      </c>
      <c r="F48" s="214">
        <v>285.56</v>
      </c>
      <c r="G48" s="34">
        <v>367.85</v>
      </c>
      <c r="H48" s="34">
        <v>9600.88</v>
      </c>
      <c r="I48" s="250">
        <f t="shared" si="0"/>
        <v>0.002558895020298199</v>
      </c>
      <c r="J48" s="250">
        <f t="shared" si="2"/>
        <v>0.9744341923479727</v>
      </c>
      <c r="K48" s="244">
        <f t="shared" si="1"/>
        <v>13.05</v>
      </c>
      <c r="L48" s="238"/>
      <c r="M48" s="240"/>
      <c r="N48" s="240"/>
      <c r="O48" s="240"/>
      <c r="P48" s="252"/>
      <c r="Q48" s="240"/>
      <c r="R48" s="240"/>
      <c r="S48" s="262"/>
      <c r="T48" s="240"/>
      <c r="U48" s="240"/>
      <c r="V48" s="240"/>
    </row>
    <row r="49" spans="1:22" s="158" customFormat="1" ht="34.5" customHeight="1">
      <c r="A49" s="47" t="s">
        <v>147</v>
      </c>
      <c r="B49" s="40" t="s">
        <v>544</v>
      </c>
      <c r="C49" s="213" t="s">
        <v>545</v>
      </c>
      <c r="D49" s="47" t="s">
        <v>484</v>
      </c>
      <c r="E49" s="50">
        <v>396</v>
      </c>
      <c r="F49" s="34">
        <v>17.9</v>
      </c>
      <c r="G49" s="34">
        <v>23.05</v>
      </c>
      <c r="H49" s="34">
        <v>9127.8</v>
      </c>
      <c r="I49" s="250">
        <f t="shared" si="0"/>
        <v>0.0024328063642372263</v>
      </c>
      <c r="J49" s="250">
        <f t="shared" si="2"/>
        <v>0.9768669987122099</v>
      </c>
      <c r="K49" s="244">
        <f t="shared" si="1"/>
        <v>198</v>
      </c>
      <c r="L49" s="238"/>
      <c r="M49" s="240"/>
      <c r="N49" s="240"/>
      <c r="O49" s="240"/>
      <c r="P49" s="252"/>
      <c r="Q49" s="240"/>
      <c r="R49" s="240"/>
      <c r="S49" s="262"/>
      <c r="T49" s="240"/>
      <c r="U49" s="240"/>
      <c r="V49" s="240"/>
    </row>
    <row r="50" spans="1:22" s="158" customFormat="1" ht="69" customHeight="1">
      <c r="A50" s="47" t="s">
        <v>579</v>
      </c>
      <c r="B50" s="40" t="s">
        <v>580</v>
      </c>
      <c r="C50" s="220" t="s">
        <v>581</v>
      </c>
      <c r="D50" s="47" t="s">
        <v>466</v>
      </c>
      <c r="E50" s="50">
        <v>200</v>
      </c>
      <c r="F50" s="34">
        <v>34.59</v>
      </c>
      <c r="G50" s="34">
        <v>44.55</v>
      </c>
      <c r="H50" s="34">
        <v>8910</v>
      </c>
      <c r="I50" s="250">
        <f t="shared" si="0"/>
        <v>0.002374756754678421</v>
      </c>
      <c r="J50" s="250">
        <f t="shared" si="2"/>
        <v>0.9792417554668884</v>
      </c>
      <c r="K50" s="244">
        <f t="shared" si="1"/>
        <v>100</v>
      </c>
      <c r="L50" s="238"/>
      <c r="M50" s="240"/>
      <c r="N50" s="240"/>
      <c r="O50" s="240"/>
      <c r="P50" s="252"/>
      <c r="Q50" s="240"/>
      <c r="R50" s="240"/>
      <c r="S50" s="262"/>
      <c r="T50" s="240"/>
      <c r="U50" s="240"/>
      <c r="V50" s="240"/>
    </row>
    <row r="51" spans="1:22" s="158" customFormat="1" ht="36.75" customHeight="1">
      <c r="A51" s="47" t="s">
        <v>563</v>
      </c>
      <c r="B51" s="40" t="s">
        <v>564</v>
      </c>
      <c r="C51" s="213" t="s">
        <v>565</v>
      </c>
      <c r="D51" s="47" t="s">
        <v>401</v>
      </c>
      <c r="E51" s="50">
        <v>2684.76</v>
      </c>
      <c r="F51" s="34">
        <v>2.28</v>
      </c>
      <c r="G51" s="34">
        <v>2.93</v>
      </c>
      <c r="H51" s="34">
        <v>7866.34</v>
      </c>
      <c r="I51" s="250">
        <f t="shared" si="0"/>
        <v>0.0020965930470928226</v>
      </c>
      <c r="J51" s="250">
        <f t="shared" si="2"/>
        <v>0.9813383485139813</v>
      </c>
      <c r="K51" s="244">
        <f t="shared" si="1"/>
        <v>1342.38</v>
      </c>
      <c r="L51" s="238"/>
      <c r="M51" s="240"/>
      <c r="N51" s="240"/>
      <c r="O51" s="240"/>
      <c r="P51" s="252"/>
      <c r="Q51" s="240"/>
      <c r="R51" s="240"/>
      <c r="S51" s="262"/>
      <c r="T51" s="240"/>
      <c r="U51" s="240"/>
      <c r="V51" s="240"/>
    </row>
    <row r="52" spans="1:22" s="158" customFormat="1" ht="48" customHeight="1">
      <c r="A52" s="47" t="s">
        <v>570</v>
      </c>
      <c r="B52" s="40" t="s">
        <v>571</v>
      </c>
      <c r="C52" s="213" t="s">
        <v>572</v>
      </c>
      <c r="D52" s="47" t="s">
        <v>495</v>
      </c>
      <c r="E52" s="212">
        <v>240</v>
      </c>
      <c r="F52" s="34">
        <v>24.55</v>
      </c>
      <c r="G52" s="34">
        <v>31.62</v>
      </c>
      <c r="H52" s="34">
        <v>7588.8</v>
      </c>
      <c r="I52" s="250">
        <f t="shared" si="0"/>
        <v>0.002022621106610954</v>
      </c>
      <c r="J52" s="250">
        <f t="shared" si="2"/>
        <v>0.9833609696205923</v>
      </c>
      <c r="K52" s="244">
        <f t="shared" si="1"/>
        <v>120</v>
      </c>
      <c r="L52" s="238"/>
      <c r="M52" s="240"/>
      <c r="N52" s="240"/>
      <c r="O52" s="240"/>
      <c r="P52" s="252"/>
      <c r="Q52" s="240"/>
      <c r="R52" s="240"/>
      <c r="S52" s="262"/>
      <c r="T52" s="240"/>
      <c r="U52" s="240"/>
      <c r="V52" s="240"/>
    </row>
    <row r="53" spans="1:22" s="158" customFormat="1" ht="42" customHeight="1">
      <c r="A53" s="47" t="s">
        <v>86</v>
      </c>
      <c r="B53" s="40" t="s">
        <v>489</v>
      </c>
      <c r="C53" s="211" t="s">
        <v>490</v>
      </c>
      <c r="D53" s="47" t="s">
        <v>466</v>
      </c>
      <c r="E53" s="212">
        <v>356.4</v>
      </c>
      <c r="F53" s="34">
        <v>15.1</v>
      </c>
      <c r="G53" s="34">
        <v>19.45</v>
      </c>
      <c r="H53" s="34">
        <v>6931.98</v>
      </c>
      <c r="I53" s="250">
        <f t="shared" si="0"/>
        <v>0.0018475607551398112</v>
      </c>
      <c r="J53" s="250">
        <f t="shared" si="2"/>
        <v>0.9852085303757321</v>
      </c>
      <c r="K53" s="244">
        <f t="shared" si="1"/>
        <v>178.2</v>
      </c>
      <c r="L53" s="238"/>
      <c r="M53" s="240"/>
      <c r="N53" s="240"/>
      <c r="O53" s="240"/>
      <c r="P53" s="252"/>
      <c r="Q53" s="240"/>
      <c r="R53" s="240"/>
      <c r="S53" s="262"/>
      <c r="T53" s="240"/>
      <c r="U53" s="240"/>
      <c r="V53" s="240"/>
    </row>
    <row r="54" spans="1:22" s="158" customFormat="1" ht="66.75" customHeight="1">
      <c r="A54" s="47" t="s">
        <v>173</v>
      </c>
      <c r="B54" s="40" t="s">
        <v>600</v>
      </c>
      <c r="C54" s="213" t="s">
        <v>601</v>
      </c>
      <c r="D54" s="47" t="s">
        <v>495</v>
      </c>
      <c r="E54" s="50">
        <v>30</v>
      </c>
      <c r="F54" s="34">
        <v>174.16</v>
      </c>
      <c r="G54" s="34">
        <v>224.35</v>
      </c>
      <c r="H54" s="34">
        <v>6730.5</v>
      </c>
      <c r="I54" s="250">
        <f t="shared" si="0"/>
        <v>0.0017938608683909214</v>
      </c>
      <c r="J54" s="250">
        <f t="shared" si="2"/>
        <v>0.987002391244123</v>
      </c>
      <c r="K54" s="244">
        <f t="shared" si="1"/>
        <v>15</v>
      </c>
      <c r="L54" s="238"/>
      <c r="M54" s="240"/>
      <c r="N54" s="240"/>
      <c r="O54" s="240"/>
      <c r="P54" s="252"/>
      <c r="Q54" s="240"/>
      <c r="R54" s="240"/>
      <c r="S54" s="262"/>
      <c r="T54" s="240"/>
      <c r="U54" s="240"/>
      <c r="V54" s="240"/>
    </row>
    <row r="55" spans="1:22" s="158" customFormat="1" ht="36" customHeight="1">
      <c r="A55" s="47" t="s">
        <v>77</v>
      </c>
      <c r="B55" s="40" t="s">
        <v>482</v>
      </c>
      <c r="C55" s="211" t="s">
        <v>483</v>
      </c>
      <c r="D55" s="47" t="s">
        <v>484</v>
      </c>
      <c r="E55" s="212">
        <v>20.1</v>
      </c>
      <c r="F55" s="34">
        <v>206.31</v>
      </c>
      <c r="G55" s="34">
        <v>265.76</v>
      </c>
      <c r="H55" s="34">
        <v>5341.77</v>
      </c>
      <c r="I55" s="250">
        <f t="shared" si="0"/>
        <v>0.0014237266430346294</v>
      </c>
      <c r="J55" s="250">
        <f t="shared" si="2"/>
        <v>0.9884261178871576</v>
      </c>
      <c r="K55" s="244">
        <f t="shared" si="1"/>
        <v>10.05</v>
      </c>
      <c r="L55" s="238"/>
      <c r="M55" s="240"/>
      <c r="N55" s="240"/>
      <c r="O55" s="240"/>
      <c r="P55" s="252"/>
      <c r="Q55" s="240"/>
      <c r="R55" s="240"/>
      <c r="S55" s="262"/>
      <c r="T55" s="240"/>
      <c r="U55" s="240"/>
      <c r="V55" s="240"/>
    </row>
    <row r="56" spans="1:22" s="158" customFormat="1" ht="39" customHeight="1">
      <c r="A56" s="47" t="s">
        <v>92</v>
      </c>
      <c r="B56" s="40" t="s">
        <v>493</v>
      </c>
      <c r="C56" s="211" t="s">
        <v>494</v>
      </c>
      <c r="D56" s="47" t="s">
        <v>495</v>
      </c>
      <c r="E56" s="212">
        <v>1260</v>
      </c>
      <c r="F56" s="34">
        <v>3.25</v>
      </c>
      <c r="G56" s="34">
        <v>4.18</v>
      </c>
      <c r="H56" s="34">
        <v>5266.8</v>
      </c>
      <c r="I56" s="250">
        <f t="shared" si="0"/>
        <v>0.0014037451038765776</v>
      </c>
      <c r="J56" s="250">
        <f t="shared" si="2"/>
        <v>0.9898298629910341</v>
      </c>
      <c r="K56" s="244">
        <f t="shared" si="1"/>
        <v>630</v>
      </c>
      <c r="L56" s="238"/>
      <c r="M56" s="240"/>
      <c r="N56" s="240"/>
      <c r="O56" s="240"/>
      <c r="P56" s="252"/>
      <c r="Q56" s="240"/>
      <c r="R56" s="240"/>
      <c r="S56" s="262"/>
      <c r="T56" s="240"/>
      <c r="U56" s="240"/>
      <c r="V56" s="240"/>
    </row>
    <row r="57" spans="1:22" s="158" customFormat="1" ht="33.75" customHeight="1">
      <c r="A57" s="47" t="s">
        <v>95</v>
      </c>
      <c r="B57" s="40" t="s">
        <v>496</v>
      </c>
      <c r="C57" s="213" t="s">
        <v>497</v>
      </c>
      <c r="D57" s="47" t="s">
        <v>495</v>
      </c>
      <c r="E57" s="50">
        <v>1260</v>
      </c>
      <c r="F57" s="34">
        <v>3.11</v>
      </c>
      <c r="G57" s="34">
        <v>4</v>
      </c>
      <c r="H57" s="34">
        <v>5040</v>
      </c>
      <c r="I57" s="250">
        <f t="shared" si="0"/>
        <v>0.0013432967501211268</v>
      </c>
      <c r="J57" s="250">
        <f t="shared" si="2"/>
        <v>0.9911731597411553</v>
      </c>
      <c r="K57" s="244">
        <f t="shared" si="1"/>
        <v>630</v>
      </c>
      <c r="L57" s="238"/>
      <c r="M57" s="240"/>
      <c r="N57" s="240"/>
      <c r="O57" s="240"/>
      <c r="P57" s="252"/>
      <c r="Q57" s="240"/>
      <c r="R57" s="240"/>
      <c r="S57" s="262"/>
      <c r="T57" s="240"/>
      <c r="U57" s="240"/>
      <c r="V57" s="240"/>
    </row>
    <row r="58" spans="1:22" s="158" customFormat="1" ht="42.75" customHeight="1">
      <c r="A58" s="47" t="s">
        <v>115</v>
      </c>
      <c r="B58" s="40" t="s">
        <v>507</v>
      </c>
      <c r="C58" s="213" t="s">
        <v>508</v>
      </c>
      <c r="D58" s="47" t="s">
        <v>484</v>
      </c>
      <c r="E58" s="50">
        <v>965.04</v>
      </c>
      <c r="F58" s="34">
        <v>3.79</v>
      </c>
      <c r="G58" s="34">
        <v>4.88</v>
      </c>
      <c r="H58" s="34">
        <v>4709.39</v>
      </c>
      <c r="I58" s="250">
        <f t="shared" si="0"/>
        <v>0.0012551802146930425</v>
      </c>
      <c r="J58" s="250">
        <f t="shared" si="2"/>
        <v>0.9924283399558483</v>
      </c>
      <c r="K58" s="244">
        <f t="shared" si="1"/>
        <v>482.52</v>
      </c>
      <c r="L58" s="238"/>
      <c r="M58" s="240"/>
      <c r="N58" s="240"/>
      <c r="O58" s="240"/>
      <c r="P58" s="252"/>
      <c r="Q58" s="240"/>
      <c r="R58" s="240"/>
      <c r="S58" s="262"/>
      <c r="T58" s="240"/>
      <c r="U58" s="240"/>
      <c r="V58" s="240"/>
    </row>
    <row r="59" spans="1:22" s="158" customFormat="1" ht="72" customHeight="1">
      <c r="A59" s="47" t="s">
        <v>566</v>
      </c>
      <c r="B59" s="40" t="s">
        <v>567</v>
      </c>
      <c r="C59" s="213" t="s">
        <v>568</v>
      </c>
      <c r="D59" s="47" t="s">
        <v>484</v>
      </c>
      <c r="E59" s="50">
        <v>14.26</v>
      </c>
      <c r="F59" s="34">
        <v>252.42</v>
      </c>
      <c r="G59" s="34">
        <v>325.16</v>
      </c>
      <c r="H59" s="34">
        <v>4636.78</v>
      </c>
      <c r="I59" s="250">
        <f t="shared" si="0"/>
        <v>0.0012358276795687774</v>
      </c>
      <c r="J59" s="250">
        <f t="shared" si="2"/>
        <v>0.9936641676354171</v>
      </c>
      <c r="K59" s="244">
        <f t="shared" si="1"/>
        <v>7.13</v>
      </c>
      <c r="L59" s="238"/>
      <c r="M59" s="240"/>
      <c r="N59" s="240"/>
      <c r="O59" s="240"/>
      <c r="P59" s="252"/>
      <c r="Q59" s="240"/>
      <c r="R59" s="240"/>
      <c r="S59" s="262"/>
      <c r="T59" s="240"/>
      <c r="U59" s="240"/>
      <c r="V59" s="240"/>
    </row>
    <row r="60" spans="1:22" s="158" customFormat="1" ht="42" customHeight="1">
      <c r="A60" s="47" t="s">
        <v>569</v>
      </c>
      <c r="B60" s="40" t="s">
        <v>564</v>
      </c>
      <c r="C60" s="211" t="s">
        <v>565</v>
      </c>
      <c r="D60" s="47" t="s">
        <v>401</v>
      </c>
      <c r="E60" s="50">
        <v>1540.08</v>
      </c>
      <c r="F60" s="34">
        <v>2.28</v>
      </c>
      <c r="G60" s="34">
        <v>2.93</v>
      </c>
      <c r="H60" s="34">
        <v>4512.43</v>
      </c>
      <c r="I60" s="250">
        <f t="shared" si="0"/>
        <v>0.0012026850305851342</v>
      </c>
      <c r="J60" s="250">
        <f t="shared" si="2"/>
        <v>0.9948668526660023</v>
      </c>
      <c r="K60" s="244">
        <f t="shared" si="1"/>
        <v>770.04</v>
      </c>
      <c r="L60" s="238"/>
      <c r="M60" s="240"/>
      <c r="N60" s="240"/>
      <c r="O60" s="240"/>
      <c r="P60" s="252"/>
      <c r="Q60" s="240"/>
      <c r="R60" s="240"/>
      <c r="S60" s="262"/>
      <c r="T60" s="240"/>
      <c r="U60" s="240"/>
      <c r="V60" s="240"/>
    </row>
    <row r="61" spans="1:22" s="158" customFormat="1" ht="72" customHeight="1">
      <c r="A61" s="47" t="s">
        <v>72</v>
      </c>
      <c r="B61" s="219" t="s">
        <v>472</v>
      </c>
      <c r="C61" s="221" t="s">
        <v>473</v>
      </c>
      <c r="D61" s="219" t="s">
        <v>474</v>
      </c>
      <c r="E61" s="41">
        <v>250</v>
      </c>
      <c r="F61" s="214">
        <v>12.29</v>
      </c>
      <c r="G61" s="34">
        <v>15.83</v>
      </c>
      <c r="H61" s="34">
        <v>3957.5</v>
      </c>
      <c r="I61" s="250">
        <f t="shared" si="0"/>
        <v>0.001054781128691341</v>
      </c>
      <c r="J61" s="250">
        <f t="shared" si="2"/>
        <v>0.9959216337946937</v>
      </c>
      <c r="K61" s="244">
        <f t="shared" si="1"/>
        <v>125</v>
      </c>
      <c r="L61" s="238"/>
      <c r="M61" s="240"/>
      <c r="N61" s="240"/>
      <c r="O61" s="240"/>
      <c r="P61" s="252"/>
      <c r="Q61" s="240"/>
      <c r="R61" s="240"/>
      <c r="S61" s="262"/>
      <c r="T61" s="240"/>
      <c r="U61" s="240"/>
      <c r="V61" s="240"/>
    </row>
    <row r="62" spans="1:22" s="158" customFormat="1" ht="51" customHeight="1">
      <c r="A62" s="47" t="s">
        <v>144</v>
      </c>
      <c r="B62" s="40" t="s">
        <v>542</v>
      </c>
      <c r="C62" s="213" t="s">
        <v>543</v>
      </c>
      <c r="D62" s="47" t="s">
        <v>484</v>
      </c>
      <c r="E62" s="50">
        <v>396</v>
      </c>
      <c r="F62" s="214">
        <v>7.11</v>
      </c>
      <c r="G62" s="34">
        <v>9.15</v>
      </c>
      <c r="H62" s="34">
        <v>3623.4</v>
      </c>
      <c r="I62" s="250">
        <f t="shared" si="0"/>
        <v>0.0009657344135692244</v>
      </c>
      <c r="J62" s="250">
        <f t="shared" si="2"/>
        <v>0.9968873682082628</v>
      </c>
      <c r="K62" s="244">
        <f t="shared" si="1"/>
        <v>198</v>
      </c>
      <c r="L62" s="238"/>
      <c r="M62" s="240"/>
      <c r="N62" s="240"/>
      <c r="O62" s="240"/>
      <c r="P62" s="252"/>
      <c r="Q62" s="240"/>
      <c r="R62" s="240"/>
      <c r="S62" s="262"/>
      <c r="T62" s="240"/>
      <c r="U62" s="240"/>
      <c r="V62" s="240"/>
    </row>
    <row r="63" spans="1:22" s="158" customFormat="1" ht="45.75" customHeight="1">
      <c r="A63" s="47" t="s">
        <v>158</v>
      </c>
      <c r="B63" s="40" t="s">
        <v>590</v>
      </c>
      <c r="C63" s="213" t="s">
        <v>591</v>
      </c>
      <c r="D63" s="47" t="s">
        <v>589</v>
      </c>
      <c r="E63" s="50">
        <v>10</v>
      </c>
      <c r="F63" s="34">
        <v>202.14</v>
      </c>
      <c r="G63" s="34">
        <v>260.39</v>
      </c>
      <c r="H63" s="34">
        <v>2603.9</v>
      </c>
      <c r="I63" s="250">
        <f t="shared" si="0"/>
        <v>0.0006940100015159528</v>
      </c>
      <c r="J63" s="250">
        <f t="shared" si="2"/>
        <v>0.9975813782097788</v>
      </c>
      <c r="K63" s="244">
        <f t="shared" si="1"/>
        <v>5</v>
      </c>
      <c r="L63" s="238"/>
      <c r="M63" s="240"/>
      <c r="N63" s="240"/>
      <c r="O63" s="240"/>
      <c r="P63" s="252"/>
      <c r="Q63" s="240"/>
      <c r="R63" s="240"/>
      <c r="S63" s="262"/>
      <c r="T63" s="240"/>
      <c r="U63" s="240"/>
      <c r="V63" s="240"/>
    </row>
    <row r="64" spans="1:22" s="158" customFormat="1" ht="57.75" customHeight="1">
      <c r="A64" s="47" t="s">
        <v>185</v>
      </c>
      <c r="B64" s="40" t="s">
        <v>608</v>
      </c>
      <c r="C64" s="211" t="s">
        <v>695</v>
      </c>
      <c r="D64" s="47" t="s">
        <v>495</v>
      </c>
      <c r="E64" s="50">
        <v>60</v>
      </c>
      <c r="F64" s="34">
        <v>29.88</v>
      </c>
      <c r="G64" s="34">
        <v>38.49</v>
      </c>
      <c r="H64" s="34">
        <v>2309.4</v>
      </c>
      <c r="I64" s="250">
        <f t="shared" si="0"/>
        <v>0.0006155177608590735</v>
      </c>
      <c r="J64" s="250">
        <f t="shared" si="2"/>
        <v>0.9981968959706379</v>
      </c>
      <c r="K64" s="244">
        <f t="shared" si="1"/>
        <v>30</v>
      </c>
      <c r="L64" s="238"/>
      <c r="M64" s="240"/>
      <c r="N64" s="240"/>
      <c r="O64" s="240"/>
      <c r="P64" s="252"/>
      <c r="Q64" s="240"/>
      <c r="R64" s="240"/>
      <c r="S64" s="262"/>
      <c r="T64" s="240"/>
      <c r="U64" s="240"/>
      <c r="V64" s="240"/>
    </row>
    <row r="65" spans="1:22" s="158" customFormat="1" ht="30.75" customHeight="1">
      <c r="A65" s="47" t="s">
        <v>551</v>
      </c>
      <c r="B65" s="40" t="s">
        <v>552</v>
      </c>
      <c r="C65" s="213" t="s">
        <v>553</v>
      </c>
      <c r="D65" s="47" t="s">
        <v>484</v>
      </c>
      <c r="E65" s="50">
        <v>396</v>
      </c>
      <c r="F65" s="34">
        <v>3.99</v>
      </c>
      <c r="G65" s="34">
        <v>5.13</v>
      </c>
      <c r="H65" s="34">
        <v>2031.48</v>
      </c>
      <c r="I65" s="250">
        <f t="shared" si="0"/>
        <v>0.0005414445400666799</v>
      </c>
      <c r="J65" s="250">
        <f t="shared" si="2"/>
        <v>0.9987383405107045</v>
      </c>
      <c r="K65" s="244">
        <f t="shared" si="1"/>
        <v>198</v>
      </c>
      <c r="L65" s="238"/>
      <c r="M65" s="240"/>
      <c r="N65" s="240"/>
      <c r="O65" s="240"/>
      <c r="P65" s="252"/>
      <c r="Q65" s="240"/>
      <c r="R65" s="240"/>
      <c r="S65" s="262"/>
      <c r="T65" s="240"/>
      <c r="U65" s="240"/>
      <c r="V65" s="240"/>
    </row>
    <row r="66" spans="1:22" s="158" customFormat="1" ht="54" customHeight="1">
      <c r="A66" s="47" t="s">
        <v>188</v>
      </c>
      <c r="B66" s="40" t="s">
        <v>610</v>
      </c>
      <c r="C66" s="213" t="s">
        <v>696</v>
      </c>
      <c r="D66" s="47" t="s">
        <v>495</v>
      </c>
      <c r="E66" s="50">
        <v>30</v>
      </c>
      <c r="F66" s="34">
        <v>48.25</v>
      </c>
      <c r="G66" s="34">
        <v>62.15</v>
      </c>
      <c r="H66" s="34">
        <v>1864.5</v>
      </c>
      <c r="I66" s="250">
        <f t="shared" si="0"/>
        <v>0.0004969398394049288</v>
      </c>
      <c r="J66" s="250">
        <f t="shared" si="2"/>
        <v>0.9992352803501094</v>
      </c>
      <c r="K66" s="244">
        <f t="shared" si="1"/>
        <v>15</v>
      </c>
      <c r="L66" s="238"/>
      <c r="M66" s="240"/>
      <c r="N66" s="240"/>
      <c r="O66" s="240"/>
      <c r="P66" s="252"/>
      <c r="Q66" s="240"/>
      <c r="R66" s="240"/>
      <c r="S66" s="262"/>
      <c r="T66" s="240"/>
      <c r="U66" s="240"/>
      <c r="V66" s="240"/>
    </row>
    <row r="67" spans="1:22" s="158" customFormat="1" ht="31.5">
      <c r="A67" s="47" t="s">
        <v>155</v>
      </c>
      <c r="B67" s="40" t="s">
        <v>587</v>
      </c>
      <c r="C67" s="213" t="s">
        <v>588</v>
      </c>
      <c r="D67" s="47" t="s">
        <v>589</v>
      </c>
      <c r="E67" s="50">
        <v>20</v>
      </c>
      <c r="F67" s="34">
        <v>66.27</v>
      </c>
      <c r="G67" s="34">
        <v>85.36</v>
      </c>
      <c r="H67" s="34">
        <v>1707.2</v>
      </c>
      <c r="I67" s="250">
        <f t="shared" si="0"/>
        <v>0.00045501512139023567</v>
      </c>
      <c r="J67" s="250">
        <f t="shared" si="2"/>
        <v>0.9996902954714997</v>
      </c>
      <c r="K67" s="244">
        <f t="shared" si="1"/>
        <v>10</v>
      </c>
      <c r="L67" s="238"/>
      <c r="M67" s="240"/>
      <c r="N67" s="240"/>
      <c r="O67" s="240"/>
      <c r="P67" s="252"/>
      <c r="Q67" s="240"/>
      <c r="R67" s="240"/>
      <c r="S67" s="262"/>
      <c r="T67" s="240"/>
      <c r="U67" s="240"/>
      <c r="V67" s="240"/>
    </row>
    <row r="68" spans="1:22" s="158" customFormat="1" ht="36" customHeight="1">
      <c r="A68" s="47" t="s">
        <v>161</v>
      </c>
      <c r="B68" s="40" t="s">
        <v>592</v>
      </c>
      <c r="C68" s="213" t="s">
        <v>593</v>
      </c>
      <c r="D68" s="47" t="s">
        <v>589</v>
      </c>
      <c r="E68" s="50">
        <v>10</v>
      </c>
      <c r="F68" s="34">
        <v>82.41</v>
      </c>
      <c r="G68" s="34">
        <v>106.16</v>
      </c>
      <c r="H68" s="34">
        <v>1061.6</v>
      </c>
      <c r="I68" s="250">
        <f t="shared" si="0"/>
        <v>0.0002829452043509103</v>
      </c>
      <c r="J68" s="250">
        <f t="shared" si="2"/>
        <v>0.9999732406758506</v>
      </c>
      <c r="K68" s="244">
        <f t="shared" si="1"/>
        <v>5</v>
      </c>
      <c r="L68" s="238"/>
      <c r="M68" s="240"/>
      <c r="N68" s="240"/>
      <c r="O68" s="240"/>
      <c r="P68" s="252"/>
      <c r="Q68" s="240"/>
      <c r="R68" s="240"/>
      <c r="S68" s="262"/>
      <c r="T68" s="240"/>
      <c r="U68" s="240"/>
      <c r="V68" s="240"/>
    </row>
    <row r="69" spans="1:22" s="158" customFormat="1" ht="36" customHeight="1">
      <c r="A69" s="47" t="s">
        <v>475</v>
      </c>
      <c r="B69" s="219" t="s">
        <v>476</v>
      </c>
      <c r="C69" s="218" t="s">
        <v>477</v>
      </c>
      <c r="D69" s="219" t="s">
        <v>478</v>
      </c>
      <c r="E69" s="41">
        <v>20</v>
      </c>
      <c r="F69" s="214">
        <v>3.9</v>
      </c>
      <c r="G69" s="34">
        <v>5.02</v>
      </c>
      <c r="H69" s="34">
        <v>100.4</v>
      </c>
      <c r="I69" s="277">
        <f t="shared" si="0"/>
        <v>2.675932414923832E-05</v>
      </c>
      <c r="J69" s="250">
        <f t="shared" si="2"/>
        <v>0.9999999999999998</v>
      </c>
      <c r="K69" s="244">
        <f t="shared" si="1"/>
        <v>10</v>
      </c>
      <c r="L69" s="238"/>
      <c r="M69" s="240"/>
      <c r="N69" s="240"/>
      <c r="O69" s="240"/>
      <c r="P69" s="252"/>
      <c r="Q69" s="240"/>
      <c r="R69" s="240"/>
      <c r="S69" s="262"/>
      <c r="T69" s="240"/>
      <c r="U69" s="240"/>
      <c r="V69" s="240"/>
    </row>
    <row r="70" spans="1:22" s="158" customFormat="1" ht="22.5" customHeight="1">
      <c r="A70" s="264"/>
      <c r="B70" s="264"/>
      <c r="C70" s="265"/>
      <c r="D70" s="264"/>
      <c r="E70" s="264"/>
      <c r="F70" s="264"/>
      <c r="G70" s="264"/>
      <c r="H70" s="264"/>
      <c r="I70" s="264"/>
      <c r="J70" s="264"/>
      <c r="K70" s="244"/>
      <c r="L70" s="238"/>
      <c r="M70" s="240"/>
      <c r="N70" s="240"/>
      <c r="O70" s="240"/>
      <c r="P70" s="240"/>
      <c r="Q70" s="240"/>
      <c r="R70" s="240"/>
      <c r="S70" s="262"/>
      <c r="T70" s="240"/>
      <c r="U70" s="240"/>
      <c r="V70" s="240"/>
    </row>
    <row r="71" spans="1:22" s="158" customFormat="1" ht="43.5" customHeight="1">
      <c r="A71" s="266" t="s">
        <v>697</v>
      </c>
      <c r="B71" s="266"/>
      <c r="C71" s="267"/>
      <c r="D71" s="266"/>
      <c r="E71" s="266"/>
      <c r="F71" s="266"/>
      <c r="G71" s="266"/>
      <c r="H71" s="268">
        <f>SUM(H10:H69)</f>
        <v>3751963.220000001</v>
      </c>
      <c r="I71" s="278">
        <f>H71/$H$71</f>
        <v>1</v>
      </c>
      <c r="J71" s="278"/>
      <c r="K71" s="244"/>
      <c r="L71" s="279"/>
      <c r="M71" s="240"/>
      <c r="N71" s="240"/>
      <c r="O71" s="240"/>
      <c r="P71" s="240"/>
      <c r="Q71" s="240"/>
      <c r="R71" s="240"/>
      <c r="S71" s="262"/>
      <c r="T71" s="240"/>
      <c r="U71" s="240"/>
      <c r="V71" s="240"/>
    </row>
    <row r="72" spans="1:22" s="158" customFormat="1" ht="42" customHeight="1">
      <c r="A72" s="269" t="s">
        <v>698</v>
      </c>
      <c r="B72" s="269"/>
      <c r="C72" s="270" t="str">
        <f>'ORÇAMENTO BÁSICO'!C86</f>
        <v>TRÊS MILHÕES, SETECENTOS E CINQUENTA E UM MIL, NOVECENTOS E SESSENTA E TRÊS REAIS E VINTE E DOIS CENTAVOS.</v>
      </c>
      <c r="D72" s="270"/>
      <c r="E72" s="270"/>
      <c r="F72" s="270"/>
      <c r="G72" s="270"/>
      <c r="H72" s="270"/>
      <c r="I72" s="270"/>
      <c r="J72" s="270"/>
      <c r="K72" s="226"/>
      <c r="L72" s="279"/>
      <c r="M72" s="240"/>
      <c r="N72" s="240"/>
      <c r="O72" s="240"/>
      <c r="P72" s="240"/>
      <c r="Q72" s="240"/>
      <c r="R72" s="240"/>
      <c r="S72" s="262"/>
      <c r="T72" s="240"/>
      <c r="U72" s="240"/>
      <c r="V72" s="240"/>
    </row>
    <row r="73" spans="1:22" s="158" customFormat="1" ht="30" customHeight="1">
      <c r="A73" s="271" t="str">
        <f>RESUMO!A32</f>
        <v>Camaragibe, 19 de abril de 2021.</v>
      </c>
      <c r="B73" s="271"/>
      <c r="C73" s="272"/>
      <c r="D73" s="271"/>
      <c r="E73" s="271"/>
      <c r="F73" s="271"/>
      <c r="G73" s="271"/>
      <c r="H73" s="271"/>
      <c r="I73" s="271"/>
      <c r="J73" s="271"/>
      <c r="K73" s="231"/>
      <c r="L73" s="279"/>
      <c r="M73" s="240"/>
      <c r="N73" s="240"/>
      <c r="O73" s="240"/>
      <c r="P73" s="240"/>
      <c r="Q73" s="240"/>
      <c r="R73" s="240"/>
      <c r="S73" s="262"/>
      <c r="T73" s="240"/>
      <c r="U73" s="240"/>
      <c r="V73" s="240"/>
    </row>
    <row r="74" spans="1:22" s="159" customFormat="1" ht="30" customHeight="1">
      <c r="A74" s="273"/>
      <c r="B74" s="273"/>
      <c r="C74" s="274"/>
      <c r="D74" s="273"/>
      <c r="E74" s="275"/>
      <c r="F74" s="276"/>
      <c r="G74" s="276"/>
      <c r="H74" s="276"/>
      <c r="I74" s="280"/>
      <c r="J74" s="248"/>
      <c r="K74" s="231"/>
      <c r="L74" s="238"/>
      <c r="M74" s="281"/>
      <c r="N74" s="281"/>
      <c r="O74" s="281"/>
      <c r="P74" s="281"/>
      <c r="Q74" s="281"/>
      <c r="R74" s="281"/>
      <c r="S74" s="282"/>
      <c r="T74" s="240"/>
      <c r="U74" s="281"/>
      <c r="V74" s="281"/>
    </row>
    <row r="75" spans="3:22" s="159" customFormat="1" ht="30" customHeight="1">
      <c r="C75" s="160"/>
      <c r="E75" s="161"/>
      <c r="F75" s="162"/>
      <c r="G75" s="162"/>
      <c r="H75" s="162"/>
      <c r="J75" s="163"/>
      <c r="K75" s="164"/>
      <c r="L75" s="165"/>
      <c r="M75" s="281"/>
      <c r="N75" s="281"/>
      <c r="O75" s="281"/>
      <c r="P75" s="281"/>
      <c r="Q75" s="281"/>
      <c r="R75" s="281"/>
      <c r="S75" s="281"/>
      <c r="T75" s="281"/>
      <c r="U75" s="281"/>
      <c r="V75" s="281"/>
    </row>
    <row r="76" spans="3:22" s="159" customFormat="1" ht="30" customHeight="1">
      <c r="C76" s="160"/>
      <c r="E76" s="161"/>
      <c r="F76" s="162"/>
      <c r="G76" s="162"/>
      <c r="H76" s="162"/>
      <c r="J76" s="163"/>
      <c r="K76" s="164"/>
      <c r="L76" s="165"/>
      <c r="M76" s="281"/>
      <c r="N76" s="281"/>
      <c r="O76" s="281"/>
      <c r="P76" s="281"/>
      <c r="Q76" s="281"/>
      <c r="R76" s="281"/>
      <c r="S76" s="281"/>
      <c r="T76" s="281"/>
      <c r="U76" s="281"/>
      <c r="V76" s="281"/>
    </row>
    <row r="77" spans="3:22" s="159" customFormat="1" ht="30" customHeight="1">
      <c r="C77" s="160"/>
      <c r="E77" s="161"/>
      <c r="F77" s="162"/>
      <c r="G77" s="162"/>
      <c r="H77" s="162"/>
      <c r="J77" s="163"/>
      <c r="K77" s="164"/>
      <c r="L77" s="165"/>
      <c r="M77" s="281"/>
      <c r="N77" s="281"/>
      <c r="O77" s="281"/>
      <c r="P77" s="281"/>
      <c r="Q77" s="281"/>
      <c r="R77" s="281"/>
      <c r="S77" s="281"/>
      <c r="T77" s="281"/>
      <c r="U77" s="281"/>
      <c r="V77" s="281"/>
    </row>
    <row r="78" spans="3:22" s="159" customFormat="1" ht="30" customHeight="1">
      <c r="C78" s="160"/>
      <c r="E78" s="161"/>
      <c r="F78" s="162"/>
      <c r="G78" s="162"/>
      <c r="H78" s="162"/>
      <c r="J78" s="163"/>
      <c r="K78" s="164"/>
      <c r="L78" s="165"/>
      <c r="M78" s="281"/>
      <c r="N78" s="281"/>
      <c r="O78" s="281"/>
      <c r="P78" s="281"/>
      <c r="Q78" s="281"/>
      <c r="R78" s="281"/>
      <c r="S78" s="281"/>
      <c r="T78" s="281"/>
      <c r="U78" s="281"/>
      <c r="V78" s="281"/>
    </row>
    <row r="79" spans="3:22" s="159" customFormat="1" ht="30" customHeight="1">
      <c r="C79" s="160"/>
      <c r="E79" s="161"/>
      <c r="F79" s="162"/>
      <c r="G79" s="162"/>
      <c r="H79" s="162"/>
      <c r="J79" s="163"/>
      <c r="K79" s="164"/>
      <c r="L79" s="165"/>
      <c r="M79" s="281"/>
      <c r="N79" s="281"/>
      <c r="O79" s="281"/>
      <c r="P79" s="281"/>
      <c r="Q79" s="281"/>
      <c r="R79" s="281"/>
      <c r="S79" s="281"/>
      <c r="T79" s="281"/>
      <c r="U79" s="281"/>
      <c r="V79" s="281"/>
    </row>
    <row r="80" spans="3:22" s="159" customFormat="1" ht="30" customHeight="1">
      <c r="C80" s="160"/>
      <c r="E80" s="161"/>
      <c r="F80" s="162"/>
      <c r="G80" s="162"/>
      <c r="H80" s="162"/>
      <c r="J80" s="163"/>
      <c r="K80" s="164"/>
      <c r="L80" s="165"/>
      <c r="M80" s="281"/>
      <c r="N80" s="281"/>
      <c r="O80" s="281"/>
      <c r="P80" s="281"/>
      <c r="Q80" s="281"/>
      <c r="R80" s="281"/>
      <c r="S80" s="281"/>
      <c r="T80" s="281"/>
      <c r="U80" s="281"/>
      <c r="V80" s="281"/>
    </row>
    <row r="81" spans="3:22" s="159" customFormat="1" ht="30" customHeight="1">
      <c r="C81" s="160"/>
      <c r="E81" s="161"/>
      <c r="F81" s="162"/>
      <c r="G81" s="162"/>
      <c r="H81" s="162"/>
      <c r="J81" s="163"/>
      <c r="K81" s="164"/>
      <c r="L81" s="165"/>
      <c r="M81" s="281"/>
      <c r="N81" s="281"/>
      <c r="O81" s="281"/>
      <c r="P81" s="281"/>
      <c r="Q81" s="281"/>
      <c r="R81" s="281"/>
      <c r="S81" s="281"/>
      <c r="T81" s="281"/>
      <c r="U81" s="281"/>
      <c r="V81" s="281"/>
    </row>
    <row r="82" spans="3:22" s="159" customFormat="1" ht="30" customHeight="1">
      <c r="C82" s="160"/>
      <c r="E82" s="161"/>
      <c r="F82" s="162"/>
      <c r="G82" s="162"/>
      <c r="H82" s="162"/>
      <c r="J82" s="163"/>
      <c r="K82" s="164"/>
      <c r="L82" s="165"/>
      <c r="M82" s="281"/>
      <c r="N82" s="281"/>
      <c r="O82" s="281"/>
      <c r="P82" s="281"/>
      <c r="Q82" s="281"/>
      <c r="R82" s="281"/>
      <c r="S82" s="281"/>
      <c r="T82" s="281"/>
      <c r="U82" s="281"/>
      <c r="V82" s="281"/>
    </row>
    <row r="83" spans="3:22" s="159" customFormat="1" ht="30" customHeight="1">
      <c r="C83" s="160"/>
      <c r="E83" s="161"/>
      <c r="F83" s="162"/>
      <c r="G83" s="162"/>
      <c r="H83" s="162"/>
      <c r="J83" s="163"/>
      <c r="K83" s="164"/>
      <c r="L83" s="165"/>
      <c r="M83" s="281"/>
      <c r="N83" s="281"/>
      <c r="O83" s="281"/>
      <c r="P83" s="281"/>
      <c r="Q83" s="281"/>
      <c r="R83" s="281"/>
      <c r="S83" s="281"/>
      <c r="T83" s="281"/>
      <c r="U83" s="281"/>
      <c r="V83" s="281"/>
    </row>
    <row r="84" spans="3:22" s="159" customFormat="1" ht="30" customHeight="1">
      <c r="C84" s="160"/>
      <c r="E84" s="161"/>
      <c r="F84" s="162"/>
      <c r="G84" s="162"/>
      <c r="H84" s="162"/>
      <c r="J84" s="163"/>
      <c r="K84" s="164"/>
      <c r="L84" s="165"/>
      <c r="M84" s="281"/>
      <c r="N84" s="281"/>
      <c r="O84" s="281"/>
      <c r="P84" s="281"/>
      <c r="Q84" s="281"/>
      <c r="R84" s="281"/>
      <c r="S84" s="281"/>
      <c r="T84" s="281"/>
      <c r="U84" s="281"/>
      <c r="V84" s="281"/>
    </row>
    <row r="85" spans="3:12" s="159" customFormat="1" ht="30" customHeight="1">
      <c r="C85" s="160"/>
      <c r="E85" s="161"/>
      <c r="F85" s="162"/>
      <c r="G85" s="162"/>
      <c r="H85" s="162"/>
      <c r="J85" s="163"/>
      <c r="K85" s="164"/>
      <c r="L85" s="165"/>
    </row>
    <row r="86" spans="3:12" s="159" customFormat="1" ht="30" customHeight="1">
      <c r="C86" s="160"/>
      <c r="E86" s="161"/>
      <c r="F86" s="162"/>
      <c r="G86" s="162"/>
      <c r="H86" s="162"/>
      <c r="J86" s="163"/>
      <c r="K86" s="164"/>
      <c r="L86" s="165"/>
    </row>
    <row r="87" spans="3:12" s="159" customFormat="1" ht="30" customHeight="1">
      <c r="C87" s="160"/>
      <c r="E87" s="161"/>
      <c r="F87" s="162"/>
      <c r="G87" s="162"/>
      <c r="H87" s="162"/>
      <c r="J87" s="163"/>
      <c r="K87" s="164"/>
      <c r="L87" s="165"/>
    </row>
    <row r="88" spans="3:12" s="159" customFormat="1" ht="30" customHeight="1">
      <c r="C88" s="160"/>
      <c r="E88" s="161"/>
      <c r="F88" s="162"/>
      <c r="G88" s="162"/>
      <c r="H88" s="162"/>
      <c r="J88" s="163"/>
      <c r="K88" s="164"/>
      <c r="L88" s="165"/>
    </row>
    <row r="89" spans="3:12" s="159" customFormat="1" ht="30" customHeight="1">
      <c r="C89" s="160"/>
      <c r="E89" s="161"/>
      <c r="F89" s="162"/>
      <c r="G89" s="162"/>
      <c r="H89" s="162"/>
      <c r="J89" s="163"/>
      <c r="K89" s="164"/>
      <c r="L89" s="165"/>
    </row>
    <row r="90" spans="3:12" s="159" customFormat="1" ht="30" customHeight="1">
      <c r="C90" s="160"/>
      <c r="E90" s="161"/>
      <c r="F90" s="162"/>
      <c r="G90" s="162"/>
      <c r="H90" s="162"/>
      <c r="J90" s="163"/>
      <c r="K90" s="164"/>
      <c r="L90" s="165"/>
    </row>
    <row r="91" spans="3:12" s="159" customFormat="1" ht="30" customHeight="1">
      <c r="C91" s="160"/>
      <c r="E91" s="161"/>
      <c r="F91" s="162"/>
      <c r="G91" s="162"/>
      <c r="H91" s="162"/>
      <c r="J91" s="163"/>
      <c r="K91" s="164"/>
      <c r="L91" s="165"/>
    </row>
    <row r="92" spans="3:12" s="159" customFormat="1" ht="30" customHeight="1">
      <c r="C92" s="160"/>
      <c r="E92" s="161"/>
      <c r="F92" s="162"/>
      <c r="G92" s="162"/>
      <c r="H92" s="162"/>
      <c r="J92" s="163"/>
      <c r="K92" s="164"/>
      <c r="L92" s="165"/>
    </row>
    <row r="93" spans="3:12" s="159" customFormat="1" ht="30" customHeight="1">
      <c r="C93" s="160"/>
      <c r="E93" s="161"/>
      <c r="F93" s="162"/>
      <c r="G93" s="162"/>
      <c r="H93" s="162"/>
      <c r="J93" s="163"/>
      <c r="K93" s="164"/>
      <c r="L93" s="165"/>
    </row>
    <row r="94" spans="3:12" s="159" customFormat="1" ht="30" customHeight="1">
      <c r="C94" s="160"/>
      <c r="E94" s="161"/>
      <c r="F94" s="162"/>
      <c r="G94" s="162"/>
      <c r="H94" s="162"/>
      <c r="J94" s="163"/>
      <c r="K94" s="164"/>
      <c r="L94" s="165"/>
    </row>
    <row r="95" spans="3:12" s="159" customFormat="1" ht="30" customHeight="1">
      <c r="C95" s="160"/>
      <c r="E95" s="161"/>
      <c r="F95" s="162"/>
      <c r="G95" s="162"/>
      <c r="H95" s="162"/>
      <c r="J95" s="163"/>
      <c r="K95" s="164"/>
      <c r="L95" s="165"/>
    </row>
    <row r="96" spans="3:12" s="159" customFormat="1" ht="30" customHeight="1">
      <c r="C96" s="160"/>
      <c r="E96" s="161"/>
      <c r="F96" s="162"/>
      <c r="G96" s="162"/>
      <c r="H96" s="162"/>
      <c r="J96" s="163"/>
      <c r="K96" s="164"/>
      <c r="L96" s="165"/>
    </row>
    <row r="97" spans="3:12" s="159" customFormat="1" ht="30" customHeight="1">
      <c r="C97" s="160"/>
      <c r="E97" s="161"/>
      <c r="F97" s="162"/>
      <c r="G97" s="162"/>
      <c r="H97" s="162"/>
      <c r="J97" s="163"/>
      <c r="K97" s="164"/>
      <c r="L97" s="165"/>
    </row>
    <row r="98" spans="3:12" s="159" customFormat="1" ht="30" customHeight="1">
      <c r="C98" s="160"/>
      <c r="E98" s="161"/>
      <c r="F98" s="162"/>
      <c r="G98" s="162"/>
      <c r="H98" s="162"/>
      <c r="J98" s="163"/>
      <c r="K98" s="164"/>
      <c r="L98" s="165"/>
    </row>
    <row r="99" spans="3:12" s="159" customFormat="1" ht="30" customHeight="1">
      <c r="C99" s="160"/>
      <c r="E99" s="161"/>
      <c r="F99" s="162"/>
      <c r="G99" s="162"/>
      <c r="H99" s="162"/>
      <c r="J99" s="163"/>
      <c r="K99" s="164"/>
      <c r="L99" s="165"/>
    </row>
    <row r="100" spans="3:12" s="159" customFormat="1" ht="30" customHeight="1">
      <c r="C100" s="160"/>
      <c r="E100" s="161"/>
      <c r="F100" s="162"/>
      <c r="G100" s="162"/>
      <c r="H100" s="162"/>
      <c r="J100" s="163"/>
      <c r="K100" s="164"/>
      <c r="L100" s="165"/>
    </row>
  </sheetData>
  <sheetProtection selectLockedCells="1" selectUnlockedCells="1"/>
  <mergeCells count="27">
    <mergeCell ref="A1:J1"/>
    <mergeCell ref="A2:J2"/>
    <mergeCell ref="A3:B3"/>
    <mergeCell ref="C3:J3"/>
    <mergeCell ref="A4:B4"/>
    <mergeCell ref="C4:J4"/>
    <mergeCell ref="A5:B5"/>
    <mergeCell ref="C5:J5"/>
    <mergeCell ref="A6:J6"/>
    <mergeCell ref="D7:G7"/>
    <mergeCell ref="I7:J7"/>
    <mergeCell ref="I8:J8"/>
    <mergeCell ref="O8:P8"/>
    <mergeCell ref="A70:J70"/>
    <mergeCell ref="A71:G71"/>
    <mergeCell ref="I71:J71"/>
    <mergeCell ref="A72:B72"/>
    <mergeCell ref="C72:J72"/>
    <mergeCell ref="A73:J73"/>
    <mergeCell ref="A7:A9"/>
    <mergeCell ref="B7:B9"/>
    <mergeCell ref="C7:C9"/>
    <mergeCell ref="D8:D9"/>
    <mergeCell ref="E8:E9"/>
    <mergeCell ref="F8:F9"/>
    <mergeCell ref="G8:G9"/>
    <mergeCell ref="H8:H9"/>
  </mergeCells>
  <printOptions horizontalCentered="1"/>
  <pageMargins left="0" right="0" top="0" bottom="0" header="0.5118055555555555" footer="0.5118055555555555"/>
  <pageSetup horizontalDpi="300" verticalDpi="300" orientation="portrait" paperSize="9" scale="40"/>
  <drawing r:id="rId1"/>
</worksheet>
</file>

<file path=xl/worksheets/sheet13.xml><?xml version="1.0" encoding="utf-8"?>
<worksheet xmlns="http://schemas.openxmlformats.org/spreadsheetml/2006/main" xmlns:r="http://schemas.openxmlformats.org/officeDocument/2006/relationships">
  <dimension ref="A1:AD16"/>
  <sheetViews>
    <sheetView view="pageBreakPreview" zoomScaleSheetLayoutView="100" workbookViewId="0" topLeftCell="A6">
      <selection activeCell="H11" sqref="H11"/>
    </sheetView>
  </sheetViews>
  <sheetFormatPr defaultColWidth="9.140625" defaultRowHeight="15"/>
  <cols>
    <col min="1" max="2" width="12.57421875" style="142" bestFit="1" customWidth="1"/>
    <col min="3" max="3" width="55.28125" style="142" bestFit="1" customWidth="1"/>
    <col min="4" max="5" width="10.28125" style="142" bestFit="1" customWidth="1"/>
    <col min="6" max="6" width="15.57421875" style="142" bestFit="1" customWidth="1"/>
    <col min="7" max="7" width="17.140625" style="142" bestFit="1" customWidth="1"/>
    <col min="8" max="8" width="20.7109375" style="142" bestFit="1" customWidth="1"/>
    <col min="9" max="9" width="9.57421875" style="142" bestFit="1" customWidth="1"/>
    <col min="10" max="16384" width="9.140625" style="142" bestFit="1" customWidth="1"/>
  </cols>
  <sheetData>
    <row r="1" spans="1:7" ht="60.75" customHeight="1">
      <c r="A1" s="143"/>
      <c r="B1" s="144"/>
      <c r="C1" s="144"/>
      <c r="D1" s="144"/>
      <c r="E1" s="144"/>
      <c r="F1" s="144"/>
      <c r="G1" s="145"/>
    </row>
    <row r="2" spans="1:7" s="2" customFormat="1" ht="24.75" customHeight="1">
      <c r="A2" s="19" t="s">
        <v>449</v>
      </c>
      <c r="B2" s="19"/>
      <c r="C2" s="19"/>
      <c r="D2" s="19"/>
      <c r="E2" s="19"/>
      <c r="F2" s="19"/>
      <c r="G2" s="19"/>
    </row>
    <row r="3" spans="1:7" s="2" customFormat="1" ht="42" customHeight="1">
      <c r="A3" s="19" t="s">
        <v>450</v>
      </c>
      <c r="B3" s="19"/>
      <c r="C3" s="19"/>
      <c r="D3" s="19"/>
      <c r="E3" s="19"/>
      <c r="F3" s="19"/>
      <c r="G3" s="19"/>
    </row>
    <row r="4" spans="1:7" s="2" customFormat="1" ht="51.75" customHeight="1">
      <c r="A4" s="20" t="s">
        <v>451</v>
      </c>
      <c r="B4" s="20"/>
      <c r="C4" s="146" t="str">
        <f>RESUMO!B3</f>
        <v>CONTRATAÇÃO DE EMPRESA ESPECIALIZADA NA ÁREA DE ENGENHARIA PARA A EXECUÇÃO DOS SERVIÇOS DE MANUTENÇÃO/CONSERVAÇÃO DA INFRAESTRUTURA VIÁRIA NO MUNICÍPIO DE CAMARAGIBE.</v>
      </c>
      <c r="D4" s="146"/>
      <c r="E4" s="146"/>
      <c r="F4" s="146"/>
      <c r="G4" s="146"/>
    </row>
    <row r="5" spans="1:7" s="2" customFormat="1" ht="34.5" customHeight="1">
      <c r="A5" s="20" t="s">
        <v>452</v>
      </c>
      <c r="B5" s="20"/>
      <c r="C5" s="146" t="s">
        <v>622</v>
      </c>
      <c r="D5" s="146"/>
      <c r="E5" s="146"/>
      <c r="F5" s="146"/>
      <c r="G5" s="146"/>
    </row>
    <row r="6" spans="1:7" s="3" customFormat="1" ht="41.25" customHeight="1">
      <c r="A6" s="20" t="s">
        <v>453</v>
      </c>
      <c r="B6" s="20"/>
      <c r="C6" s="146" t="str">
        <f>'ORÇAMENTO BÁSICO'!C6</f>
        <v>COMPOSIÇÕES DE CUSTO, TABELA DA SINAPI_PE_DESONERADA_NOV/2020 E EMLURB_JULHO/2018  + (BDI 28,82%).</v>
      </c>
      <c r="D6" s="146"/>
      <c r="E6" s="146"/>
      <c r="F6" s="146"/>
      <c r="G6" s="146"/>
    </row>
    <row r="7" spans="1:7" s="3" customFormat="1" ht="30" customHeight="1">
      <c r="A7" s="147" t="s">
        <v>699</v>
      </c>
      <c r="B7" s="147"/>
      <c r="C7" s="147"/>
      <c r="D7" s="147"/>
      <c r="E7" s="147"/>
      <c r="F7" s="147"/>
      <c r="G7" s="147"/>
    </row>
    <row r="8" spans="1:7" s="3" customFormat="1" ht="28.5" customHeight="1">
      <c r="A8" s="23" t="s">
        <v>456</v>
      </c>
      <c r="B8" s="23"/>
      <c r="C8" s="23" t="s">
        <v>4</v>
      </c>
      <c r="D8" s="23" t="s">
        <v>700</v>
      </c>
      <c r="E8" s="23" t="s">
        <v>631</v>
      </c>
      <c r="F8" s="26" t="s">
        <v>7</v>
      </c>
      <c r="G8" s="23" t="s">
        <v>8</v>
      </c>
    </row>
    <row r="9" spans="1:7" s="3" customFormat="1" ht="21" customHeight="1">
      <c r="A9" s="23"/>
      <c r="B9" s="23"/>
      <c r="C9" s="23"/>
      <c r="D9" s="23"/>
      <c r="E9" s="23"/>
      <c r="F9" s="26"/>
      <c r="G9" s="23"/>
    </row>
    <row r="10" spans="1:7" s="3" customFormat="1" ht="28.5" customHeight="1">
      <c r="A10" s="27" t="s">
        <v>701</v>
      </c>
      <c r="B10" s="27"/>
      <c r="C10" s="53" t="s">
        <v>702</v>
      </c>
      <c r="D10" s="53"/>
      <c r="E10" s="53"/>
      <c r="F10" s="148">
        <f>SUM(G11:G12)</f>
        <v>18345.65</v>
      </c>
      <c r="G10" s="148"/>
    </row>
    <row r="11" spans="1:30" s="3" customFormat="1" ht="57" customHeight="1">
      <c r="A11" s="30" t="s">
        <v>703</v>
      </c>
      <c r="B11" s="30"/>
      <c r="C11" s="31" t="s">
        <v>704</v>
      </c>
      <c r="D11" s="32" t="s">
        <v>705</v>
      </c>
      <c r="E11" s="33">
        <v>1</v>
      </c>
      <c r="F11" s="34">
        <v>12982.88</v>
      </c>
      <c r="G11" s="149">
        <f aca="true" t="shared" si="0" ref="G11:G12">TRUNC(E11*F11,2)</f>
        <v>12982.88</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row>
    <row r="12" spans="1:30" s="141" customFormat="1" ht="48.75" customHeight="1">
      <c r="A12" s="30" t="s">
        <v>706</v>
      </c>
      <c r="B12" s="30"/>
      <c r="C12" s="31" t="s">
        <v>707</v>
      </c>
      <c r="D12" s="32" t="s">
        <v>705</v>
      </c>
      <c r="E12" s="33">
        <v>1</v>
      </c>
      <c r="F12" s="34">
        <v>5362.77</v>
      </c>
      <c r="G12" s="149">
        <f t="shared" si="0"/>
        <v>5362.77</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row>
    <row r="13" spans="1:8" s="3" customFormat="1" ht="28.5" customHeight="1">
      <c r="A13" s="151" t="s">
        <v>702</v>
      </c>
      <c r="B13" s="151"/>
      <c r="C13" s="151"/>
      <c r="D13" s="151"/>
      <c r="E13" s="151"/>
      <c r="F13" s="148">
        <f>SUM(G11:G12)</f>
        <v>18345.65</v>
      </c>
      <c r="G13" s="148"/>
      <c r="H13" s="152"/>
    </row>
    <row r="14" spans="1:7" s="3" customFormat="1" ht="28.5" customHeight="1">
      <c r="A14" s="151" t="s">
        <v>708</v>
      </c>
      <c r="B14" s="151"/>
      <c r="C14" s="151"/>
      <c r="D14" s="151"/>
      <c r="E14" s="151"/>
      <c r="F14" s="148">
        <f>TRUNC(F13*12,2)</f>
        <v>220147.8</v>
      </c>
      <c r="G14" s="148"/>
    </row>
    <row r="16" ht="15.75">
      <c r="G16" s="153"/>
    </row>
  </sheetData>
  <sheetProtection selectLockedCells="1" selectUnlockedCells="1"/>
  <mergeCells count="24">
    <mergeCell ref="A2:G2"/>
    <mergeCell ref="A3:G3"/>
    <mergeCell ref="A4:B4"/>
    <mergeCell ref="C4:G4"/>
    <mergeCell ref="A5:B5"/>
    <mergeCell ref="C5:G5"/>
    <mergeCell ref="A6:B6"/>
    <mergeCell ref="C6:G6"/>
    <mergeCell ref="A7:G7"/>
    <mergeCell ref="A10:B10"/>
    <mergeCell ref="C10:E10"/>
    <mergeCell ref="F10:G10"/>
    <mergeCell ref="A11:B11"/>
    <mergeCell ref="A12:B12"/>
    <mergeCell ref="A13:E13"/>
    <mergeCell ref="F13:G13"/>
    <mergeCell ref="A14:E14"/>
    <mergeCell ref="F14:G14"/>
    <mergeCell ref="C8:C9"/>
    <mergeCell ref="D8:D9"/>
    <mergeCell ref="E8:E9"/>
    <mergeCell ref="F8:F9"/>
    <mergeCell ref="G8:G9"/>
    <mergeCell ref="A8:B9"/>
  </mergeCells>
  <printOptions horizontalCentered="1"/>
  <pageMargins left="0" right="0" top="0" bottom="0" header="0.5118055555555555" footer="0.5118055555555555"/>
  <pageSetup horizontalDpi="300" verticalDpi="300" orientation="portrait" paperSize="9" scale="74"/>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D29"/>
  <sheetViews>
    <sheetView view="pageBreakPreview" zoomScaleSheetLayoutView="100" workbookViewId="0" topLeftCell="A11">
      <selection activeCell="C19" sqref="C19"/>
    </sheetView>
  </sheetViews>
  <sheetFormatPr defaultColWidth="9.140625" defaultRowHeight="15"/>
  <cols>
    <col min="1" max="1" width="42.28125" style="118" bestFit="1" customWidth="1"/>
    <col min="2" max="2" width="16.28125" style="118" bestFit="1" customWidth="1"/>
    <col min="3" max="3" width="57.421875" style="118" bestFit="1" customWidth="1"/>
    <col min="4" max="4" width="18.00390625" style="118" bestFit="1" customWidth="1"/>
    <col min="5" max="16384" width="9.00390625" style="118" bestFit="1" customWidth="1"/>
  </cols>
  <sheetData>
    <row r="1" spans="1:4" ht="88.5" customHeight="1">
      <c r="A1" s="119" t="s">
        <v>449</v>
      </c>
      <c r="B1" s="119"/>
      <c r="C1" s="119"/>
      <c r="D1" s="119"/>
    </row>
    <row r="2" spans="1:4" ht="39.75" customHeight="1">
      <c r="A2" s="120" t="s">
        <v>709</v>
      </c>
      <c r="B2" s="120"/>
      <c r="C2" s="120"/>
      <c r="D2" s="120"/>
    </row>
    <row r="3" spans="1:4" ht="57" customHeight="1">
      <c r="A3" s="121" t="s">
        <v>451</v>
      </c>
      <c r="B3" s="122" t="str">
        <f>RESUMO!B3</f>
        <v>CONTRATAÇÃO DE EMPRESA ESPECIALIZADA NA ÁREA DE ENGENHARIA PARA A EXECUÇÃO DOS SERVIÇOS DE MANUTENÇÃO/CONSERVAÇÃO DA INFRAESTRUTURA VIÁRIA NO MUNICÍPIO DE CAMARAGIBE.</v>
      </c>
      <c r="C3" s="122"/>
      <c r="D3" s="122"/>
    </row>
    <row r="4" spans="1:4" ht="33" customHeight="1">
      <c r="A4" s="121" t="s">
        <v>452</v>
      </c>
      <c r="B4" s="123" t="s">
        <v>622</v>
      </c>
      <c r="C4" s="123"/>
      <c r="D4" s="123"/>
    </row>
    <row r="5" spans="1:4" ht="43.5" customHeight="1">
      <c r="A5" s="124" t="s">
        <v>710</v>
      </c>
      <c r="B5" s="124"/>
      <c r="C5" s="124"/>
      <c r="D5" s="124"/>
    </row>
    <row r="6" spans="1:4" ht="43.5" customHeight="1">
      <c r="A6" s="125" t="s">
        <v>711</v>
      </c>
      <c r="B6" s="125"/>
      <c r="C6" s="126" t="s">
        <v>712</v>
      </c>
      <c r="D6" s="126"/>
    </row>
    <row r="7" spans="1:4" ht="43.5" customHeight="1">
      <c r="A7" s="126" t="s">
        <v>713</v>
      </c>
      <c r="B7" s="127" t="s">
        <v>714</v>
      </c>
      <c r="C7" s="128">
        <v>0.03</v>
      </c>
      <c r="D7" s="128"/>
    </row>
    <row r="8" spans="1:4" ht="43.5" customHeight="1">
      <c r="A8" s="126" t="s">
        <v>715</v>
      </c>
      <c r="B8" s="127" t="s">
        <v>716</v>
      </c>
      <c r="C8" s="128">
        <v>0.0097</v>
      </c>
      <c r="D8" s="128"/>
    </row>
    <row r="9" spans="1:4" ht="43.5" customHeight="1">
      <c r="A9" s="126" t="s">
        <v>717</v>
      </c>
      <c r="B9" s="127" t="s">
        <v>718</v>
      </c>
      <c r="C9" s="128">
        <v>0.008</v>
      </c>
      <c r="D9" s="128"/>
    </row>
    <row r="10" spans="1:4" ht="43.5" customHeight="1">
      <c r="A10" s="126" t="s">
        <v>719</v>
      </c>
      <c r="B10" s="127" t="s">
        <v>720</v>
      </c>
      <c r="C10" s="128">
        <v>0.0059</v>
      </c>
      <c r="D10" s="128"/>
    </row>
    <row r="11" spans="1:4" ht="43.5" customHeight="1">
      <c r="A11" s="126" t="s">
        <v>721</v>
      </c>
      <c r="B11" s="127" t="s">
        <v>722</v>
      </c>
      <c r="C11" s="128">
        <v>0.0616</v>
      </c>
      <c r="D11" s="128"/>
    </row>
    <row r="12" spans="1:4" ht="43.5" customHeight="1">
      <c r="A12" s="126" t="s">
        <v>723</v>
      </c>
      <c r="B12" s="127" t="s">
        <v>724</v>
      </c>
      <c r="C12" s="128">
        <v>0.0865</v>
      </c>
      <c r="D12" s="128"/>
    </row>
    <row r="13" spans="1:4" ht="78.75" customHeight="1">
      <c r="A13" s="129" t="s">
        <v>725</v>
      </c>
      <c r="B13" s="127"/>
      <c r="C13" s="128">
        <v>0.045</v>
      </c>
      <c r="D13" s="128"/>
    </row>
    <row r="14" spans="1:4" ht="43.5" customHeight="1">
      <c r="A14" s="130" t="s">
        <v>726</v>
      </c>
      <c r="B14" s="130"/>
      <c r="C14" s="131">
        <f>((((1+(C7+C8+C9))*(1+C10)*(1+C11))/(1-(C12+C13)))-1)*100</f>
        <v>28.81986483454233</v>
      </c>
      <c r="D14" s="131"/>
    </row>
    <row r="15" spans="1:4" ht="15.75" customHeight="1">
      <c r="A15" s="132" t="s">
        <v>727</v>
      </c>
      <c r="B15" s="132"/>
      <c r="C15" s="132"/>
      <c r="D15" s="132"/>
    </row>
    <row r="16" spans="1:4" ht="15.75">
      <c r="A16" s="133"/>
      <c r="B16" s="134"/>
      <c r="C16" s="134"/>
      <c r="D16" s="135"/>
    </row>
    <row r="17" spans="1:4" ht="15.75">
      <c r="A17" s="133"/>
      <c r="B17" s="134"/>
      <c r="C17" s="134"/>
      <c r="D17" s="135"/>
    </row>
    <row r="18" spans="1:4" ht="15.75">
      <c r="A18" s="133"/>
      <c r="B18" s="134"/>
      <c r="C18" s="134"/>
      <c r="D18" s="135"/>
    </row>
    <row r="19" spans="1:4" ht="15.75">
      <c r="A19" s="133"/>
      <c r="B19" s="134"/>
      <c r="C19" s="134"/>
      <c r="D19" s="135"/>
    </row>
    <row r="20" spans="1:4" ht="12.75">
      <c r="A20" s="136"/>
      <c r="B20" s="137"/>
      <c r="C20" s="137"/>
      <c r="D20" s="138"/>
    </row>
    <row r="22" ht="15.75">
      <c r="B22" s="139"/>
    </row>
    <row r="23" ht="15.75">
      <c r="B23" s="140"/>
    </row>
    <row r="24" ht="15.75">
      <c r="B24" s="139"/>
    </row>
    <row r="25" ht="15.75">
      <c r="B25" s="139"/>
    </row>
    <row r="26" ht="15.75">
      <c r="B26" s="140"/>
    </row>
    <row r="27" ht="15.75">
      <c r="B27" s="139"/>
    </row>
    <row r="28" ht="15.75">
      <c r="B28" s="139"/>
    </row>
    <row r="29" ht="15.75">
      <c r="B29" s="140"/>
    </row>
  </sheetData>
  <sheetProtection selectLockedCells="1" selectUnlockedCells="1"/>
  <mergeCells count="18">
    <mergeCell ref="A1:D1"/>
    <mergeCell ref="A2:D2"/>
    <mergeCell ref="B3:D3"/>
    <mergeCell ref="B4:D4"/>
    <mergeCell ref="A5:D5"/>
    <mergeCell ref="A6:B6"/>
    <mergeCell ref="C6:D6"/>
    <mergeCell ref="C7:D7"/>
    <mergeCell ref="C8:D8"/>
    <mergeCell ref="C9:D9"/>
    <mergeCell ref="C10:D10"/>
    <mergeCell ref="C11:D11"/>
    <mergeCell ref="C12:D12"/>
    <mergeCell ref="C13:D13"/>
    <mergeCell ref="A14:B14"/>
    <mergeCell ref="C14:D14"/>
    <mergeCell ref="A15:D15"/>
    <mergeCell ref="B12:B13"/>
  </mergeCells>
  <printOptions horizontalCentered="1"/>
  <pageMargins left="0" right="0" top="0" bottom="0" header="0.5118055555555555" footer="0.5118055555555555"/>
  <pageSetup horizontalDpi="300" verticalDpi="300" orientation="portrait" paperSize="9" scale="65"/>
  <drawing r:id="rId1"/>
</worksheet>
</file>

<file path=xl/worksheets/sheet15.xml><?xml version="1.0" encoding="utf-8"?>
<worksheet xmlns="http://schemas.openxmlformats.org/spreadsheetml/2006/main" xmlns:r="http://schemas.openxmlformats.org/officeDocument/2006/relationships">
  <dimension ref="A1:L41"/>
  <sheetViews>
    <sheetView view="pageBreakPreview" zoomScaleSheetLayoutView="100" workbookViewId="0" topLeftCell="A30">
      <selection activeCell="R12" sqref="R12"/>
    </sheetView>
  </sheetViews>
  <sheetFormatPr defaultColWidth="9.140625" defaultRowHeight="15"/>
  <cols>
    <col min="2" max="2" width="34.140625" style="0" bestFit="1" customWidth="1"/>
    <col min="3" max="3" width="12.28125" style="0" bestFit="1" customWidth="1"/>
    <col min="4" max="8" width="13.28125" style="0" bestFit="1" customWidth="1"/>
    <col min="9" max="9" width="16.57421875" style="0" bestFit="1" customWidth="1"/>
    <col min="10" max="10" width="12.8515625" style="0" bestFit="1" customWidth="1"/>
    <col min="11" max="11" width="10.8515625" style="0" bestFit="1" customWidth="1"/>
    <col min="12" max="12" width="12.8515625" style="0" bestFit="1" customWidth="1"/>
  </cols>
  <sheetData>
    <row r="1" spans="1:8" ht="78" customHeight="1">
      <c r="A1" s="100" t="s">
        <v>449</v>
      </c>
      <c r="B1" s="100"/>
      <c r="C1" s="100"/>
      <c r="D1" s="100"/>
      <c r="E1" s="100"/>
      <c r="F1" s="100"/>
      <c r="G1" s="100"/>
      <c r="H1" s="100"/>
    </row>
    <row r="2" spans="1:8" ht="25.5" customHeight="1">
      <c r="A2" s="101" t="s">
        <v>450</v>
      </c>
      <c r="B2" s="101"/>
      <c r="C2" s="101"/>
      <c r="D2" s="101"/>
      <c r="E2" s="101"/>
      <c r="F2" s="101"/>
      <c r="G2" s="101"/>
      <c r="H2" s="101"/>
    </row>
    <row r="3" spans="1:8" ht="28.5" customHeight="1">
      <c r="A3" s="102" t="s">
        <v>728</v>
      </c>
      <c r="B3" s="102"/>
      <c r="C3" s="102"/>
      <c r="D3" s="102"/>
      <c r="E3" s="102"/>
      <c r="F3" s="102"/>
      <c r="G3" s="102"/>
      <c r="H3" s="102"/>
    </row>
    <row r="4" spans="1:8" s="99" customFormat="1" ht="42.75" customHeight="1">
      <c r="A4" s="103" t="s">
        <v>624</v>
      </c>
      <c r="B4" s="103"/>
      <c r="C4" s="48" t="s">
        <v>625</v>
      </c>
      <c r="D4" s="48"/>
      <c r="E4" s="48" t="s">
        <v>626</v>
      </c>
      <c r="F4" s="48"/>
      <c r="G4" s="103" t="s">
        <v>627</v>
      </c>
      <c r="H4" s="103"/>
    </row>
    <row r="5" spans="1:8" s="99" customFormat="1" ht="31.5">
      <c r="A5" s="104" t="s">
        <v>637</v>
      </c>
      <c r="B5" s="105" t="s">
        <v>729</v>
      </c>
      <c r="C5" s="106" t="s">
        <v>639</v>
      </c>
      <c r="D5" s="105" t="s">
        <v>640</v>
      </c>
      <c r="E5" s="106" t="s">
        <v>639</v>
      </c>
      <c r="F5" s="105" t="s">
        <v>640</v>
      </c>
      <c r="G5" s="106" t="s">
        <v>639</v>
      </c>
      <c r="H5" s="105" t="s">
        <v>640</v>
      </c>
    </row>
    <row r="6" spans="1:8" s="99" customFormat="1" ht="25.5" customHeight="1">
      <c r="A6" s="107">
        <v>176</v>
      </c>
      <c r="B6" s="58" t="s">
        <v>730</v>
      </c>
      <c r="C6" s="108">
        <v>55441.5024</v>
      </c>
      <c r="D6" s="108">
        <v>288223.4634</v>
      </c>
      <c r="E6" s="108">
        <v>29384</v>
      </c>
      <c r="F6" s="108">
        <v>225425.5</v>
      </c>
      <c r="G6" s="108">
        <v>6652</v>
      </c>
      <c r="H6" s="108">
        <v>33341</v>
      </c>
    </row>
    <row r="7" spans="1:8" s="99" customFormat="1" ht="25.5" customHeight="1">
      <c r="A7" s="107">
        <v>56</v>
      </c>
      <c r="B7" s="58" t="s">
        <v>731</v>
      </c>
      <c r="C7" s="108">
        <v>3075.41</v>
      </c>
      <c r="D7" s="109">
        <v>11672.95</v>
      </c>
      <c r="E7" s="109">
        <v>7828.151999999999</v>
      </c>
      <c r="F7" s="109">
        <v>43729.522</v>
      </c>
      <c r="G7" s="109" t="s">
        <v>732</v>
      </c>
      <c r="H7" s="109" t="s">
        <v>732</v>
      </c>
    </row>
    <row r="8" spans="1:8" s="99" customFormat="1" ht="25.5" customHeight="1">
      <c r="A8" s="107">
        <v>91</v>
      </c>
      <c r="B8" s="58" t="s">
        <v>733</v>
      </c>
      <c r="C8" s="108">
        <v>11488.35</v>
      </c>
      <c r="D8" s="109">
        <v>42548.607</v>
      </c>
      <c r="E8" s="109">
        <v>9183.61</v>
      </c>
      <c r="F8" s="109">
        <v>42381.904</v>
      </c>
      <c r="G8" s="103">
        <v>130</v>
      </c>
      <c r="H8" s="108">
        <v>650</v>
      </c>
    </row>
    <row r="9" spans="1:8" s="99" customFormat="1" ht="25.5" customHeight="1">
      <c r="A9" s="107">
        <v>127</v>
      </c>
      <c r="B9" s="58" t="s">
        <v>734</v>
      </c>
      <c r="C9" s="108">
        <v>13223.2</v>
      </c>
      <c r="D9" s="109">
        <v>70942.85</v>
      </c>
      <c r="E9" s="109">
        <v>19202.8</v>
      </c>
      <c r="F9" s="109">
        <v>109826.95</v>
      </c>
      <c r="G9" s="109">
        <v>5827</v>
      </c>
      <c r="H9" s="109">
        <v>32085</v>
      </c>
    </row>
    <row r="10" spans="1:8" s="99" customFormat="1" ht="25.5" customHeight="1">
      <c r="A10" s="107">
        <v>61</v>
      </c>
      <c r="B10" s="58" t="s">
        <v>735</v>
      </c>
      <c r="C10" s="108">
        <v>4672</v>
      </c>
      <c r="D10" s="109">
        <v>19345</v>
      </c>
      <c r="E10" s="109">
        <v>6356</v>
      </c>
      <c r="F10" s="109">
        <v>36965</v>
      </c>
      <c r="G10" s="109">
        <v>398</v>
      </c>
      <c r="H10" s="109">
        <v>1507</v>
      </c>
    </row>
    <row r="11" spans="1:8" s="99" customFormat="1" ht="25.5" customHeight="1">
      <c r="A11" s="107">
        <v>114</v>
      </c>
      <c r="B11" s="58" t="s">
        <v>736</v>
      </c>
      <c r="C11" s="108">
        <v>2335</v>
      </c>
      <c r="D11" s="109">
        <v>8172.5</v>
      </c>
      <c r="E11" s="109">
        <v>26973</v>
      </c>
      <c r="F11" s="109">
        <v>193896.5</v>
      </c>
      <c r="G11" s="109">
        <v>6053</v>
      </c>
      <c r="H11" s="109">
        <v>27062.5</v>
      </c>
    </row>
    <row r="12" spans="1:8" s="99" customFormat="1" ht="25.5" customHeight="1">
      <c r="A12" s="107">
        <v>34</v>
      </c>
      <c r="B12" s="58" t="s">
        <v>737</v>
      </c>
      <c r="C12" s="108">
        <v>1614</v>
      </c>
      <c r="D12" s="109">
        <v>7244</v>
      </c>
      <c r="E12" s="109">
        <v>6103</v>
      </c>
      <c r="F12" s="109">
        <v>31148</v>
      </c>
      <c r="G12" s="109">
        <v>3281</v>
      </c>
      <c r="H12" s="109">
        <v>12546</v>
      </c>
    </row>
    <row r="13" spans="1:8" s="99" customFormat="1" ht="25.5" customHeight="1">
      <c r="A13" s="107">
        <v>49</v>
      </c>
      <c r="B13" s="58" t="s">
        <v>738</v>
      </c>
      <c r="C13" s="108">
        <v>3872</v>
      </c>
      <c r="D13" s="109">
        <v>17600</v>
      </c>
      <c r="E13" s="109">
        <v>6274</v>
      </c>
      <c r="F13" s="109">
        <v>35055</v>
      </c>
      <c r="G13" s="109">
        <v>2439</v>
      </c>
      <c r="H13" s="109">
        <v>11775</v>
      </c>
    </row>
    <row r="14" spans="1:8" s="99" customFormat="1" ht="25.5" customHeight="1">
      <c r="A14" s="107">
        <v>83</v>
      </c>
      <c r="B14" s="58" t="s">
        <v>739</v>
      </c>
      <c r="C14" s="108">
        <v>10479.34</v>
      </c>
      <c r="D14" s="109">
        <v>38096.020000000004</v>
      </c>
      <c r="E14" s="109">
        <v>2672</v>
      </c>
      <c r="F14" s="109">
        <v>13830</v>
      </c>
      <c r="G14" s="109">
        <v>3310.46</v>
      </c>
      <c r="H14" s="109">
        <v>14709.34</v>
      </c>
    </row>
    <row r="15" spans="1:8" s="99" customFormat="1" ht="25.5" customHeight="1">
      <c r="A15" s="107">
        <v>21</v>
      </c>
      <c r="B15" s="58" t="s">
        <v>740</v>
      </c>
      <c r="C15" s="108">
        <v>18708</v>
      </c>
      <c r="D15" s="109">
        <v>90459</v>
      </c>
      <c r="E15" s="109">
        <v>3032</v>
      </c>
      <c r="F15" s="109">
        <v>14392</v>
      </c>
      <c r="G15" s="109" t="s">
        <v>732</v>
      </c>
      <c r="H15" s="109" t="s">
        <v>732</v>
      </c>
    </row>
    <row r="16" spans="1:8" s="99" customFormat="1" ht="25.5" customHeight="1">
      <c r="A16" s="107">
        <v>46</v>
      </c>
      <c r="B16" s="58" t="s">
        <v>741</v>
      </c>
      <c r="C16" s="108">
        <v>7660</v>
      </c>
      <c r="D16" s="109">
        <v>32076.5</v>
      </c>
      <c r="E16" s="109">
        <v>2672</v>
      </c>
      <c r="F16" s="109">
        <v>15535</v>
      </c>
      <c r="G16" s="109">
        <v>4104</v>
      </c>
      <c r="H16" s="109">
        <v>19138</v>
      </c>
    </row>
    <row r="17" spans="1:8" s="99" customFormat="1" ht="25.5" customHeight="1">
      <c r="A17" s="107">
        <v>14</v>
      </c>
      <c r="B17" s="58" t="s">
        <v>742</v>
      </c>
      <c r="C17" s="108">
        <v>847.909</v>
      </c>
      <c r="D17" s="109">
        <v>3077.3991</v>
      </c>
      <c r="E17" s="109">
        <v>2476.98</v>
      </c>
      <c r="F17" s="109">
        <v>18753.41163333333</v>
      </c>
      <c r="G17" s="109" t="s">
        <v>732</v>
      </c>
      <c r="H17" s="109" t="s">
        <v>732</v>
      </c>
    </row>
    <row r="18" spans="1:8" s="99" customFormat="1" ht="25.5" customHeight="1">
      <c r="A18" s="107">
        <v>19</v>
      </c>
      <c r="B18" s="58" t="s">
        <v>743</v>
      </c>
      <c r="C18" s="108">
        <v>2283.11</v>
      </c>
      <c r="D18" s="109">
        <v>8660.4853</v>
      </c>
      <c r="E18" s="109">
        <v>2134.7200000000003</v>
      </c>
      <c r="F18" s="109">
        <v>10624.5336</v>
      </c>
      <c r="G18" s="109" t="s">
        <v>732</v>
      </c>
      <c r="H18" s="109" t="s">
        <v>732</v>
      </c>
    </row>
    <row r="19" spans="1:8" s="99" customFormat="1" ht="25.5" customHeight="1">
      <c r="A19" s="107">
        <v>38</v>
      </c>
      <c r="B19" s="58" t="s">
        <v>744</v>
      </c>
      <c r="C19" s="108">
        <v>3912.23</v>
      </c>
      <c r="D19" s="109">
        <v>13289.492733333334</v>
      </c>
      <c r="E19" s="109">
        <v>8574.24</v>
      </c>
      <c r="F19" s="109">
        <v>44178.72126666667</v>
      </c>
      <c r="G19" s="109" t="s">
        <v>732</v>
      </c>
      <c r="H19" s="109" t="s">
        <v>732</v>
      </c>
    </row>
    <row r="20" spans="1:8" s="99" customFormat="1" ht="25.5" customHeight="1">
      <c r="A20" s="107">
        <v>12</v>
      </c>
      <c r="B20" s="58" t="s">
        <v>745</v>
      </c>
      <c r="C20" s="108">
        <v>407.19</v>
      </c>
      <c r="D20" s="109">
        <v>1498.684</v>
      </c>
      <c r="E20" s="109">
        <v>2228.17</v>
      </c>
      <c r="F20" s="109">
        <v>10756.9181</v>
      </c>
      <c r="G20" s="109" t="s">
        <v>732</v>
      </c>
      <c r="H20" s="109" t="s">
        <v>732</v>
      </c>
    </row>
    <row r="21" spans="1:8" s="99" customFormat="1" ht="25.5" customHeight="1">
      <c r="A21" s="107">
        <v>44</v>
      </c>
      <c r="B21" s="58" t="s">
        <v>746</v>
      </c>
      <c r="C21" s="108">
        <v>2835.05</v>
      </c>
      <c r="D21" s="109">
        <v>9482.114</v>
      </c>
      <c r="E21" s="109">
        <v>9529.989999999998</v>
      </c>
      <c r="F21" s="109">
        <v>51009.3962</v>
      </c>
      <c r="G21" s="109" t="s">
        <v>732</v>
      </c>
      <c r="H21" s="109" t="s">
        <v>732</v>
      </c>
    </row>
    <row r="22" spans="1:8" s="99" customFormat="1" ht="25.5" customHeight="1">
      <c r="A22" s="107">
        <v>43</v>
      </c>
      <c r="B22" s="58" t="s">
        <v>747</v>
      </c>
      <c r="C22" s="108">
        <v>6889.079999999999</v>
      </c>
      <c r="D22" s="109">
        <v>35837.6016</v>
      </c>
      <c r="E22" s="109">
        <v>9529.989999999998</v>
      </c>
      <c r="F22" s="109">
        <v>19815.657</v>
      </c>
      <c r="G22" s="109">
        <v>527</v>
      </c>
      <c r="H22" s="109">
        <v>2635</v>
      </c>
    </row>
    <row r="23" spans="1:8" s="99" customFormat="1" ht="25.5" customHeight="1">
      <c r="A23" s="107">
        <v>26</v>
      </c>
      <c r="B23" s="58" t="s">
        <v>748</v>
      </c>
      <c r="C23" s="108">
        <v>5384.73</v>
      </c>
      <c r="D23" s="109">
        <v>24024.52</v>
      </c>
      <c r="E23" s="109">
        <v>746</v>
      </c>
      <c r="F23" s="109">
        <v>4207.44</v>
      </c>
      <c r="G23" s="109" t="s">
        <v>732</v>
      </c>
      <c r="H23" s="109" t="s">
        <v>732</v>
      </c>
    </row>
    <row r="24" spans="1:8" s="99" customFormat="1" ht="25.5" customHeight="1">
      <c r="A24" s="107">
        <v>9</v>
      </c>
      <c r="B24" s="58" t="s">
        <v>749</v>
      </c>
      <c r="C24" s="108">
        <v>103</v>
      </c>
      <c r="D24" s="109">
        <v>370.8</v>
      </c>
      <c r="E24" s="109">
        <v>2646.8</v>
      </c>
      <c r="F24" s="109">
        <v>11262.96</v>
      </c>
      <c r="G24" s="109" t="s">
        <v>732</v>
      </c>
      <c r="H24" s="109" t="s">
        <v>732</v>
      </c>
    </row>
    <row r="25" spans="1:8" s="99" customFormat="1" ht="25.5" customHeight="1">
      <c r="A25" s="107">
        <v>36</v>
      </c>
      <c r="B25" s="58" t="s">
        <v>750</v>
      </c>
      <c r="C25" s="108">
        <v>5321.88</v>
      </c>
      <c r="D25" s="109">
        <v>26748.08</v>
      </c>
      <c r="E25" s="109">
        <v>5208.040000000001</v>
      </c>
      <c r="F25" s="109">
        <v>29579.3192</v>
      </c>
      <c r="G25" s="109" t="s">
        <v>732</v>
      </c>
      <c r="H25" s="109" t="s">
        <v>732</v>
      </c>
    </row>
    <row r="26" spans="1:8" s="99" customFormat="1" ht="25.5" customHeight="1">
      <c r="A26" s="107">
        <v>89</v>
      </c>
      <c r="B26" s="58" t="s">
        <v>751</v>
      </c>
      <c r="C26" s="109">
        <v>11292.54</v>
      </c>
      <c r="D26" s="109">
        <v>46373.151</v>
      </c>
      <c r="E26" s="109">
        <v>4631</v>
      </c>
      <c r="F26" s="109">
        <v>20510.55</v>
      </c>
      <c r="G26" s="109" t="s">
        <v>732</v>
      </c>
      <c r="H26" s="109" t="s">
        <v>732</v>
      </c>
    </row>
    <row r="27" spans="1:8" s="99" customFormat="1" ht="25.5" customHeight="1">
      <c r="A27" s="107">
        <v>34</v>
      </c>
      <c r="B27" s="58" t="s">
        <v>752</v>
      </c>
      <c r="C27" s="109">
        <v>4854.71</v>
      </c>
      <c r="D27" s="109">
        <v>23370.425</v>
      </c>
      <c r="E27" s="109">
        <v>5743</v>
      </c>
      <c r="F27" s="109">
        <v>28050.2</v>
      </c>
      <c r="G27" s="109" t="s">
        <v>732</v>
      </c>
      <c r="H27" s="109" t="s">
        <v>732</v>
      </c>
    </row>
    <row r="28" spans="1:8" s="99" customFormat="1" ht="25.5" customHeight="1">
      <c r="A28" s="107">
        <v>22</v>
      </c>
      <c r="B28" s="58" t="s">
        <v>753</v>
      </c>
      <c r="C28" s="109">
        <v>3207</v>
      </c>
      <c r="D28" s="109">
        <v>18402</v>
      </c>
      <c r="E28" s="109">
        <v>3595</v>
      </c>
      <c r="F28" s="109">
        <v>20029</v>
      </c>
      <c r="G28" s="109" t="s">
        <v>732</v>
      </c>
      <c r="H28" s="109" t="s">
        <v>732</v>
      </c>
    </row>
    <row r="29" spans="1:8" s="99" customFormat="1" ht="25.5" customHeight="1">
      <c r="A29" s="107">
        <v>19</v>
      </c>
      <c r="B29" s="58" t="s">
        <v>754</v>
      </c>
      <c r="C29" s="109">
        <v>3975</v>
      </c>
      <c r="D29" s="109">
        <v>15620</v>
      </c>
      <c r="E29" s="109">
        <v>977</v>
      </c>
      <c r="F29" s="109">
        <v>5062</v>
      </c>
      <c r="G29" s="109">
        <v>1285</v>
      </c>
      <c r="H29" s="109">
        <v>5425</v>
      </c>
    </row>
    <row r="30" spans="1:8" s="99" customFormat="1" ht="25.5" customHeight="1">
      <c r="A30" s="107">
        <v>18</v>
      </c>
      <c r="B30" s="58" t="s">
        <v>755</v>
      </c>
      <c r="C30" s="109" t="s">
        <v>732</v>
      </c>
      <c r="D30" s="109" t="s">
        <v>732</v>
      </c>
      <c r="E30" s="109">
        <v>3758</v>
      </c>
      <c r="F30" s="109">
        <v>18246.5</v>
      </c>
      <c r="G30" s="109" t="s">
        <v>732</v>
      </c>
      <c r="H30" s="109" t="s">
        <v>732</v>
      </c>
    </row>
    <row r="31" spans="1:8" s="99" customFormat="1" ht="25.5" customHeight="1">
      <c r="A31" s="107">
        <v>21</v>
      </c>
      <c r="B31" s="58" t="s">
        <v>756</v>
      </c>
      <c r="C31" s="109">
        <v>1199</v>
      </c>
      <c r="D31" s="109">
        <v>5198</v>
      </c>
      <c r="E31" s="109">
        <v>7889</v>
      </c>
      <c r="F31" s="109">
        <v>21512</v>
      </c>
      <c r="G31" s="109">
        <v>180</v>
      </c>
      <c r="H31" s="109">
        <v>900</v>
      </c>
    </row>
    <row r="32" spans="1:8" s="99" customFormat="1" ht="25.5" customHeight="1">
      <c r="A32" s="107">
        <v>28</v>
      </c>
      <c r="B32" s="58" t="s">
        <v>757</v>
      </c>
      <c r="C32" s="109">
        <v>6783</v>
      </c>
      <c r="D32" s="109">
        <v>25556</v>
      </c>
      <c r="E32" s="109">
        <v>197</v>
      </c>
      <c r="F32" s="109">
        <v>788</v>
      </c>
      <c r="G32" s="109">
        <v>1900</v>
      </c>
      <c r="H32" s="109">
        <v>11400</v>
      </c>
    </row>
    <row r="33" spans="1:8" s="99" customFormat="1" ht="25.5" customHeight="1">
      <c r="A33" s="107">
        <v>65</v>
      </c>
      <c r="B33" s="58" t="s">
        <v>758</v>
      </c>
      <c r="C33" s="109">
        <v>21138</v>
      </c>
      <c r="D33" s="109">
        <v>108242</v>
      </c>
      <c r="E33" s="109">
        <v>3398</v>
      </c>
      <c r="F33" s="109">
        <v>23925</v>
      </c>
      <c r="G33" s="109">
        <v>509</v>
      </c>
      <c r="H33" s="109">
        <v>3054</v>
      </c>
    </row>
    <row r="34" spans="1:11" s="99" customFormat="1" ht="25.5" customHeight="1">
      <c r="A34" s="107">
        <v>38</v>
      </c>
      <c r="B34" s="58" t="s">
        <v>759</v>
      </c>
      <c r="C34" s="109">
        <v>8747.630000000001</v>
      </c>
      <c r="D34" s="109">
        <v>40552.774</v>
      </c>
      <c r="E34" s="109">
        <v>2000</v>
      </c>
      <c r="F34" s="109">
        <v>10193.8</v>
      </c>
      <c r="G34" s="109" t="s">
        <v>732</v>
      </c>
      <c r="H34" s="109" t="s">
        <v>732</v>
      </c>
      <c r="K34" s="116"/>
    </row>
    <row r="35" spans="1:12" s="99" customFormat="1" ht="36" customHeight="1">
      <c r="A35" s="110" t="s">
        <v>238</v>
      </c>
      <c r="B35" s="110"/>
      <c r="C35" s="111">
        <f aca="true" t="shared" si="0" ref="C35:H35">SUM(C6:C34)</f>
        <v>221749.8614</v>
      </c>
      <c r="D35" s="111">
        <f t="shared" si="0"/>
        <v>1032684.4171333334</v>
      </c>
      <c r="E35" s="111">
        <f t="shared" si="0"/>
        <v>194943.492</v>
      </c>
      <c r="F35" s="111">
        <f t="shared" si="0"/>
        <v>1110690.7829999998</v>
      </c>
      <c r="G35" s="111">
        <f t="shared" si="0"/>
        <v>36595.46</v>
      </c>
      <c r="H35" s="111">
        <f t="shared" si="0"/>
        <v>176227.84</v>
      </c>
      <c r="L35" s="117"/>
    </row>
    <row r="37" spans="3:7" ht="15">
      <c r="C37" s="112"/>
      <c r="E37" s="113"/>
      <c r="G37" s="113"/>
    </row>
    <row r="38" ht="15">
      <c r="E38" s="114"/>
    </row>
    <row r="39" ht="15">
      <c r="E39" s="115"/>
    </row>
    <row r="41" ht="15">
      <c r="F41" s="114"/>
    </row>
  </sheetData>
  <sheetProtection selectLockedCells="1" selectUnlockedCells="1"/>
  <mergeCells count="8">
    <mergeCell ref="A1:H1"/>
    <mergeCell ref="A2:H2"/>
    <mergeCell ref="A3:H3"/>
    <mergeCell ref="A4:B4"/>
    <mergeCell ref="C4:D4"/>
    <mergeCell ref="E4:F4"/>
    <mergeCell ref="G4:H4"/>
    <mergeCell ref="A35:B35"/>
  </mergeCells>
  <printOptions horizontalCentered="1"/>
  <pageMargins left="0" right="0" top="0" bottom="0" header="0.5118055555555555" footer="0.5118055555555555"/>
  <pageSetup horizontalDpi="300" verticalDpi="300" orientation="portrait" paperSize="9" scale="81"/>
  <colBreaks count="1" manualBreakCount="1">
    <brk id="8" max="65535" man="1"/>
  </colBreaks>
  <drawing r:id="rId1"/>
</worksheet>
</file>

<file path=xl/worksheets/sheet16.xml><?xml version="1.0" encoding="utf-8"?>
<worksheet xmlns="http://schemas.openxmlformats.org/spreadsheetml/2006/main" xmlns:r="http://schemas.openxmlformats.org/officeDocument/2006/relationships">
  <dimension ref="A1:IV98"/>
  <sheetViews>
    <sheetView tabSelected="1" view="pageBreakPreview" zoomScale="82" zoomScaleSheetLayoutView="82" workbookViewId="0" topLeftCell="A34">
      <selection activeCell="A84" sqref="A84:G84"/>
    </sheetView>
  </sheetViews>
  <sheetFormatPr defaultColWidth="9.140625" defaultRowHeight="33.75" customHeight="1"/>
  <cols>
    <col min="1" max="1" width="7.00390625" style="8" customWidth="1"/>
    <col min="2" max="2" width="20.8515625" style="8" customWidth="1"/>
    <col min="3" max="3" width="92.7109375" style="8" bestFit="1" customWidth="1"/>
    <col min="4" max="4" width="11.28125" style="8" customWidth="1"/>
    <col min="5" max="5" width="15.7109375" style="9" customWidth="1"/>
    <col min="6" max="6" width="16.28125" style="10" bestFit="1" customWidth="1"/>
    <col min="7" max="7" width="15.421875" style="11" bestFit="1" customWidth="1"/>
    <col min="8" max="8" width="18.28125" style="11" customWidth="1"/>
    <col min="9" max="9" width="2.7109375" style="8" bestFit="1" customWidth="1"/>
    <col min="10" max="10" width="19.00390625" style="12" bestFit="1" customWidth="1"/>
    <col min="11" max="11" width="12.7109375" style="13" bestFit="1" customWidth="1"/>
    <col min="12" max="12" width="5.421875" style="13" bestFit="1" customWidth="1"/>
    <col min="13" max="13" width="9.28125" style="13" bestFit="1" customWidth="1"/>
    <col min="14" max="14" width="10.8515625" style="13" bestFit="1" customWidth="1"/>
    <col min="15" max="15" width="9.140625" style="13" bestFit="1" customWidth="1"/>
    <col min="16" max="16" width="9.57421875" style="13" bestFit="1" customWidth="1"/>
    <col min="17" max="18" width="11.7109375" style="13" bestFit="1" customWidth="1"/>
    <col min="19" max="22" width="9.140625" style="13" bestFit="1" customWidth="1"/>
    <col min="23" max="16384" width="9.140625" style="8" bestFit="1" customWidth="1"/>
  </cols>
  <sheetData>
    <row r="1" spans="1:10" s="1" customFormat="1" ht="33.75" customHeight="1">
      <c r="A1" s="14"/>
      <c r="B1" s="15"/>
      <c r="C1" s="15"/>
      <c r="D1" s="15"/>
      <c r="E1" s="16"/>
      <c r="F1" s="17"/>
      <c r="G1" s="17"/>
      <c r="H1" s="18"/>
      <c r="J1" s="61"/>
    </row>
    <row r="2" spans="1:22" s="2" customFormat="1" ht="33.75" customHeight="1">
      <c r="A2" s="19" t="s">
        <v>449</v>
      </c>
      <c r="B2" s="19"/>
      <c r="C2" s="19"/>
      <c r="D2" s="19"/>
      <c r="E2" s="19"/>
      <c r="F2" s="19"/>
      <c r="G2" s="19"/>
      <c r="H2" s="19"/>
      <c r="J2" s="62"/>
      <c r="K2" s="63"/>
      <c r="L2" s="63"/>
      <c r="M2" s="63"/>
      <c r="N2" s="63"/>
      <c r="O2" s="63"/>
      <c r="P2" s="63"/>
      <c r="Q2" s="63"/>
      <c r="R2" s="63"/>
      <c r="S2" s="63"/>
      <c r="T2" s="63"/>
      <c r="U2" s="84"/>
      <c r="V2" s="84"/>
    </row>
    <row r="3" spans="1:22" s="2" customFormat="1" ht="33.75" customHeight="1">
      <c r="A3" s="19" t="s">
        <v>450</v>
      </c>
      <c r="B3" s="19"/>
      <c r="C3" s="19"/>
      <c r="D3" s="19"/>
      <c r="E3" s="19"/>
      <c r="F3" s="19"/>
      <c r="G3" s="19"/>
      <c r="H3" s="19"/>
      <c r="J3" s="62"/>
      <c r="K3" s="63"/>
      <c r="L3" s="63"/>
      <c r="M3" s="63"/>
      <c r="N3" s="63"/>
      <c r="O3" s="63"/>
      <c r="P3" s="63"/>
      <c r="Q3" s="63"/>
      <c r="R3" s="63"/>
      <c r="S3" s="63"/>
      <c r="T3" s="63"/>
      <c r="U3" s="84"/>
      <c r="V3" s="84"/>
    </row>
    <row r="4" spans="1:22" s="2" customFormat="1" ht="33.75" customHeight="1">
      <c r="A4" s="20" t="s">
        <v>451</v>
      </c>
      <c r="B4" s="20"/>
      <c r="C4" s="21" t="str">
        <f>RESUMO!B3</f>
        <v>CONTRATAÇÃO DE EMPRESA ESPECIALIZADA NA ÁREA DE ENGENHARIA PARA A EXECUÇÃO DOS SERVIÇOS DE MANUTENÇÃO/CONSERVAÇÃO DA INFRAESTRUTURA VIÁRIA NO MUNICÍPIO DE CAMARAGIBE.</v>
      </c>
      <c r="D4" s="21"/>
      <c r="E4" s="21"/>
      <c r="F4" s="21"/>
      <c r="G4" s="21"/>
      <c r="H4" s="21"/>
      <c r="J4" s="62"/>
      <c r="K4" s="63"/>
      <c r="L4" s="63"/>
      <c r="M4" s="63"/>
      <c r="N4" s="63"/>
      <c r="O4" s="63"/>
      <c r="P4" s="63"/>
      <c r="Q4" s="63"/>
      <c r="R4" s="63"/>
      <c r="S4" s="63"/>
      <c r="T4" s="63"/>
      <c r="U4" s="84"/>
      <c r="V4" s="84"/>
    </row>
    <row r="5" spans="1:22" s="2" customFormat="1" ht="27.75" customHeight="1">
      <c r="A5" s="20" t="s">
        <v>452</v>
      </c>
      <c r="B5" s="20"/>
      <c r="C5" s="21" t="str">
        <f>RESUMO!B4</f>
        <v>TODO MUNICÍPIO DE CAMARAGIBE/PE.</v>
      </c>
      <c r="D5" s="21"/>
      <c r="E5" s="21"/>
      <c r="F5" s="21"/>
      <c r="G5" s="21"/>
      <c r="H5" s="21"/>
      <c r="J5" s="62"/>
      <c r="K5" s="63"/>
      <c r="L5" s="63"/>
      <c r="M5" s="63"/>
      <c r="N5" s="63"/>
      <c r="O5" s="63"/>
      <c r="P5" s="63"/>
      <c r="Q5" s="63"/>
      <c r="R5" s="63"/>
      <c r="S5" s="63"/>
      <c r="T5" s="63"/>
      <c r="U5" s="84"/>
      <c r="V5" s="84"/>
    </row>
    <row r="6" spans="1:22" s="3" customFormat="1" ht="27.75" customHeight="1">
      <c r="A6" s="20" t="s">
        <v>453</v>
      </c>
      <c r="B6" s="20"/>
      <c r="C6" s="21" t="s">
        <v>454</v>
      </c>
      <c r="D6" s="21"/>
      <c r="E6" s="21"/>
      <c r="F6" s="21"/>
      <c r="G6" s="21"/>
      <c r="H6" s="21"/>
      <c r="I6" s="64"/>
      <c r="J6" s="65"/>
      <c r="K6" s="66"/>
      <c r="L6" s="67"/>
      <c r="M6" s="68"/>
      <c r="N6" s="67"/>
      <c r="O6" s="67"/>
      <c r="P6" s="69"/>
      <c r="Q6" s="67"/>
      <c r="R6" s="67"/>
      <c r="S6" s="67"/>
      <c r="T6" s="67"/>
      <c r="U6" s="5"/>
      <c r="V6" s="5"/>
    </row>
    <row r="7" spans="1:22" s="2" customFormat="1" ht="33.75" customHeight="1">
      <c r="A7" s="22" t="s">
        <v>455</v>
      </c>
      <c r="B7" s="22"/>
      <c r="C7" s="22"/>
      <c r="D7" s="22"/>
      <c r="E7" s="22"/>
      <c r="F7" s="22"/>
      <c r="G7" s="22"/>
      <c r="H7" s="22"/>
      <c r="J7" s="62"/>
      <c r="K7" s="63"/>
      <c r="L7" s="63"/>
      <c r="M7" s="63"/>
      <c r="N7" s="63"/>
      <c r="O7" s="63"/>
      <c r="P7" s="63"/>
      <c r="Q7" s="63"/>
      <c r="R7" s="63"/>
      <c r="S7" s="63"/>
      <c r="T7" s="63"/>
      <c r="U7" s="84"/>
      <c r="V7" s="84"/>
    </row>
    <row r="8" spans="1:22" s="3" customFormat="1" ht="25.5" customHeight="1">
      <c r="A8" s="23" t="s">
        <v>2</v>
      </c>
      <c r="B8" s="23" t="s">
        <v>456</v>
      </c>
      <c r="C8" s="23" t="s">
        <v>4</v>
      </c>
      <c r="D8" s="24" t="s">
        <v>457</v>
      </c>
      <c r="E8" s="24"/>
      <c r="F8" s="24"/>
      <c r="G8" s="24"/>
      <c r="H8" s="25">
        <v>0.2882</v>
      </c>
      <c r="I8" s="64"/>
      <c r="J8" s="65"/>
      <c r="K8" s="66"/>
      <c r="L8" s="67"/>
      <c r="M8" s="68"/>
      <c r="N8" s="67"/>
      <c r="O8" s="67"/>
      <c r="P8" s="69"/>
      <c r="Q8" s="67"/>
      <c r="R8" s="67"/>
      <c r="S8" s="67"/>
      <c r="T8" s="67"/>
      <c r="U8" s="5"/>
      <c r="V8" s="5"/>
    </row>
    <row r="9" spans="1:22" s="4" customFormat="1" ht="33.75" customHeight="1">
      <c r="A9" s="23"/>
      <c r="B9" s="23"/>
      <c r="C9" s="23"/>
      <c r="D9" s="23" t="s">
        <v>5</v>
      </c>
      <c r="E9" s="23" t="s">
        <v>6</v>
      </c>
      <c r="F9" s="26" t="s">
        <v>7</v>
      </c>
      <c r="G9" s="23" t="s">
        <v>458</v>
      </c>
      <c r="H9" s="23" t="s">
        <v>8</v>
      </c>
      <c r="I9" s="64"/>
      <c r="J9" s="70"/>
      <c r="K9" s="71"/>
      <c r="L9" s="72"/>
      <c r="M9" s="73"/>
      <c r="N9" s="73"/>
      <c r="O9" s="72"/>
      <c r="P9" s="72"/>
      <c r="Q9" s="72"/>
      <c r="R9" s="72"/>
      <c r="S9" s="72"/>
      <c r="T9" s="72"/>
      <c r="U9" s="7"/>
      <c r="V9" s="7"/>
    </row>
    <row r="10" spans="1:22" s="4" customFormat="1" ht="33.75" customHeight="1">
      <c r="A10" s="23"/>
      <c r="B10" s="23"/>
      <c r="C10" s="23"/>
      <c r="D10" s="23"/>
      <c r="E10" s="23"/>
      <c r="F10" s="26"/>
      <c r="G10" s="23"/>
      <c r="H10" s="23"/>
      <c r="I10" s="64"/>
      <c r="J10" s="70"/>
      <c r="K10" s="71"/>
      <c r="L10" s="72"/>
      <c r="M10" s="72"/>
      <c r="N10" s="72"/>
      <c r="O10" s="72"/>
      <c r="P10" s="72"/>
      <c r="Q10" s="72"/>
      <c r="R10" s="72"/>
      <c r="S10" s="72"/>
      <c r="T10" s="72"/>
      <c r="U10" s="7"/>
      <c r="V10" s="7"/>
    </row>
    <row r="11" spans="1:22" s="4" customFormat="1" ht="33.75" customHeight="1">
      <c r="A11" s="27" t="s">
        <v>441</v>
      </c>
      <c r="B11" s="28" t="s">
        <v>459</v>
      </c>
      <c r="C11" s="28"/>
      <c r="D11" s="28"/>
      <c r="E11" s="28"/>
      <c r="F11" s="28"/>
      <c r="G11" s="28"/>
      <c r="H11" s="28"/>
      <c r="I11" s="64"/>
      <c r="J11" s="70"/>
      <c r="K11" s="72"/>
      <c r="L11" s="72"/>
      <c r="M11" s="72"/>
      <c r="N11" s="72"/>
      <c r="O11" s="72"/>
      <c r="P11" s="72"/>
      <c r="Q11" s="72"/>
      <c r="R11" s="72"/>
      <c r="S11" s="72"/>
      <c r="T11" s="72"/>
      <c r="U11" s="7"/>
      <c r="V11" s="7"/>
    </row>
    <row r="12" spans="1:22" s="4" customFormat="1" ht="33.75" customHeight="1">
      <c r="A12" s="29" t="s">
        <v>10</v>
      </c>
      <c r="B12" s="30" t="s">
        <v>460</v>
      </c>
      <c r="C12" s="31" t="s">
        <v>461</v>
      </c>
      <c r="D12" s="32" t="s">
        <v>315</v>
      </c>
      <c r="E12" s="33">
        <f>'MEMORIA DE CALCULO'!L10</f>
        <v>12</v>
      </c>
      <c r="F12" s="34">
        <v>0</v>
      </c>
      <c r="G12" s="35">
        <f aca="true" t="shared" si="0" ref="G12:G19">TRUNC(F12+F12*$H$8,2)</f>
        <v>0</v>
      </c>
      <c r="H12" s="35">
        <f aca="true" t="shared" si="1" ref="H12:H19">TRUNC(E12*G12,2)</f>
        <v>0</v>
      </c>
      <c r="I12" s="64"/>
      <c r="J12" s="74"/>
      <c r="K12" s="72"/>
      <c r="L12" s="72"/>
      <c r="M12" s="72"/>
      <c r="N12" s="72"/>
      <c r="O12" s="72"/>
      <c r="P12" s="72"/>
      <c r="Q12" s="72"/>
      <c r="R12" s="72"/>
      <c r="S12" s="72"/>
      <c r="T12" s="72"/>
      <c r="U12" s="7"/>
      <c r="V12" s="7"/>
    </row>
    <row r="13" spans="1:22" s="4" customFormat="1" ht="33.75" customHeight="1">
      <c r="A13" s="36" t="s">
        <v>462</v>
      </c>
      <c r="B13" s="36"/>
      <c r="C13" s="36"/>
      <c r="D13" s="36"/>
      <c r="E13" s="36"/>
      <c r="F13" s="36"/>
      <c r="G13" s="36"/>
      <c r="H13" s="37">
        <f>H12</f>
        <v>0</v>
      </c>
      <c r="I13" s="64"/>
      <c r="J13" s="70"/>
      <c r="K13" s="72"/>
      <c r="L13" s="72"/>
      <c r="M13" s="72"/>
      <c r="N13" s="72"/>
      <c r="O13" s="72"/>
      <c r="P13" s="72"/>
      <c r="Q13" s="72"/>
      <c r="R13" s="72"/>
      <c r="S13" s="72"/>
      <c r="T13" s="72"/>
      <c r="U13" s="7"/>
      <c r="V13" s="7"/>
    </row>
    <row r="14" spans="1:22" s="3" customFormat="1" ht="33.75" customHeight="1">
      <c r="A14" s="27" t="s">
        <v>442</v>
      </c>
      <c r="B14" s="28" t="s">
        <v>463</v>
      </c>
      <c r="C14" s="28"/>
      <c r="D14" s="28"/>
      <c r="E14" s="28"/>
      <c r="F14" s="28"/>
      <c r="G14" s="28"/>
      <c r="H14" s="28"/>
      <c r="I14" s="75"/>
      <c r="J14" s="65"/>
      <c r="K14" s="67"/>
      <c r="L14" s="67"/>
      <c r="M14" s="67"/>
      <c r="N14" s="67"/>
      <c r="O14" s="67"/>
      <c r="P14" s="67"/>
      <c r="Q14" s="67"/>
      <c r="R14" s="67"/>
      <c r="S14" s="67"/>
      <c r="T14" s="67"/>
      <c r="U14" s="5"/>
      <c r="V14" s="5"/>
    </row>
    <row r="15" spans="1:20" s="5" customFormat="1" ht="33.75" customHeight="1">
      <c r="A15" s="38" t="s">
        <v>63</v>
      </c>
      <c r="B15" s="38" t="s">
        <v>464</v>
      </c>
      <c r="C15" s="39" t="s">
        <v>465</v>
      </c>
      <c r="D15" s="40" t="s">
        <v>466</v>
      </c>
      <c r="E15" s="41">
        <f>'MEMORIA DE CALCULO'!L12</f>
        <v>24</v>
      </c>
      <c r="F15" s="42">
        <v>0</v>
      </c>
      <c r="G15" s="34">
        <f t="shared" si="0"/>
        <v>0</v>
      </c>
      <c r="H15" s="34">
        <f t="shared" si="1"/>
        <v>0</v>
      </c>
      <c r="I15" s="76"/>
      <c r="J15" s="65"/>
      <c r="K15" s="67"/>
      <c r="L15" s="67"/>
      <c r="M15" s="67"/>
      <c r="N15" s="67"/>
      <c r="O15" s="67"/>
      <c r="P15" s="67"/>
      <c r="Q15" s="67"/>
      <c r="R15" s="67"/>
      <c r="S15" s="67"/>
      <c r="T15" s="67"/>
    </row>
    <row r="16" spans="1:20" s="5" customFormat="1" ht="33.75" customHeight="1">
      <c r="A16" s="43" t="s">
        <v>66</v>
      </c>
      <c r="B16" s="40" t="s">
        <v>467</v>
      </c>
      <c r="C16" s="44" t="s">
        <v>468</v>
      </c>
      <c r="D16" s="40" t="s">
        <v>466</v>
      </c>
      <c r="E16" s="41">
        <f>'MEMORIA DE CALCULO'!L13</f>
        <v>20</v>
      </c>
      <c r="F16" s="42">
        <v>0</v>
      </c>
      <c r="G16" s="34">
        <f t="shared" si="0"/>
        <v>0</v>
      </c>
      <c r="H16" s="34">
        <f t="shared" si="1"/>
        <v>0</v>
      </c>
      <c r="I16" s="76"/>
      <c r="J16" s="65"/>
      <c r="K16" s="67"/>
      <c r="L16" s="67"/>
      <c r="M16" s="67"/>
      <c r="N16" s="67"/>
      <c r="O16" s="67"/>
      <c r="P16" s="67"/>
      <c r="Q16" s="67"/>
      <c r="R16" s="67"/>
      <c r="S16" s="67"/>
      <c r="T16" s="67"/>
    </row>
    <row r="17" spans="1:20" s="5" customFormat="1" ht="33.75" customHeight="1">
      <c r="A17" s="38" t="s">
        <v>69</v>
      </c>
      <c r="B17" s="40" t="s">
        <v>469</v>
      </c>
      <c r="C17" s="44" t="s">
        <v>470</v>
      </c>
      <c r="D17" s="40" t="s">
        <v>471</v>
      </c>
      <c r="E17" s="41">
        <f>'MEMORIA DE CALCULO'!L14</f>
        <v>30</v>
      </c>
      <c r="F17" s="42">
        <v>0</v>
      </c>
      <c r="G17" s="34">
        <f t="shared" si="0"/>
        <v>0</v>
      </c>
      <c r="H17" s="34">
        <f t="shared" si="1"/>
        <v>0</v>
      </c>
      <c r="I17" s="76"/>
      <c r="J17" s="65"/>
      <c r="K17" s="67"/>
      <c r="L17" s="67"/>
      <c r="M17" s="67"/>
      <c r="N17" s="67"/>
      <c r="O17" s="67"/>
      <c r="P17" s="67"/>
      <c r="Q17" s="67"/>
      <c r="R17" s="67"/>
      <c r="S17" s="67"/>
      <c r="T17" s="67"/>
    </row>
    <row r="18" spans="1:20" s="5" customFormat="1" ht="33.75" customHeight="1">
      <c r="A18" s="43" t="s">
        <v>72</v>
      </c>
      <c r="B18" s="45" t="s">
        <v>472</v>
      </c>
      <c r="C18" s="46" t="s">
        <v>473</v>
      </c>
      <c r="D18" s="45" t="s">
        <v>474</v>
      </c>
      <c r="E18" s="41">
        <f>+'MEMORIA DE CALCULO'!L15</f>
        <v>250</v>
      </c>
      <c r="F18" s="42">
        <v>0</v>
      </c>
      <c r="G18" s="34">
        <f t="shared" si="0"/>
        <v>0</v>
      </c>
      <c r="H18" s="34">
        <f t="shared" si="1"/>
        <v>0</v>
      </c>
      <c r="I18" s="76"/>
      <c r="J18" s="65"/>
      <c r="K18" s="67"/>
      <c r="L18" s="67"/>
      <c r="M18" s="67"/>
      <c r="N18" s="67"/>
      <c r="O18" s="67"/>
      <c r="P18" s="67"/>
      <c r="Q18" s="67"/>
      <c r="R18" s="67"/>
      <c r="S18" s="67"/>
      <c r="T18" s="67"/>
    </row>
    <row r="19" spans="1:20" s="5" customFormat="1" ht="33.75" customHeight="1">
      <c r="A19" s="38" t="s">
        <v>475</v>
      </c>
      <c r="B19" s="45" t="s">
        <v>476</v>
      </c>
      <c r="C19" s="39" t="s">
        <v>477</v>
      </c>
      <c r="D19" s="45" t="s">
        <v>478</v>
      </c>
      <c r="E19" s="41">
        <f>+'MEMORIA DE CALCULO'!L16</f>
        <v>20</v>
      </c>
      <c r="F19" s="42">
        <v>0</v>
      </c>
      <c r="G19" s="34">
        <f t="shared" si="0"/>
        <v>0</v>
      </c>
      <c r="H19" s="34">
        <f t="shared" si="1"/>
        <v>0</v>
      </c>
      <c r="I19" s="76"/>
      <c r="J19" s="65"/>
      <c r="K19" s="67"/>
      <c r="L19" s="67"/>
      <c r="M19" s="67"/>
      <c r="N19" s="67"/>
      <c r="O19" s="67"/>
      <c r="P19" s="67"/>
      <c r="Q19" s="67"/>
      <c r="R19" s="67"/>
      <c r="S19" s="67"/>
      <c r="T19" s="67"/>
    </row>
    <row r="20" spans="1:22" s="6" customFormat="1" ht="33.75" customHeight="1">
      <c r="A20" s="36" t="s">
        <v>479</v>
      </c>
      <c r="B20" s="36"/>
      <c r="C20" s="36"/>
      <c r="D20" s="36"/>
      <c r="E20" s="36"/>
      <c r="F20" s="36"/>
      <c r="G20" s="36"/>
      <c r="H20" s="37">
        <f>SUM(H15:H19)</f>
        <v>0</v>
      </c>
      <c r="I20" s="64"/>
      <c r="J20" s="70"/>
      <c r="K20" s="72"/>
      <c r="L20" s="72"/>
      <c r="M20" s="72"/>
      <c r="N20" s="77"/>
      <c r="O20" s="72"/>
      <c r="P20" s="72"/>
      <c r="Q20" s="72"/>
      <c r="R20" s="72"/>
      <c r="S20" s="72"/>
      <c r="T20" s="72"/>
      <c r="U20" s="7"/>
      <c r="V20" s="7"/>
    </row>
    <row r="21" spans="1:22" s="4" customFormat="1" ht="33.75" customHeight="1">
      <c r="A21" s="27" t="s">
        <v>480</v>
      </c>
      <c r="B21" s="28" t="s">
        <v>481</v>
      </c>
      <c r="C21" s="28"/>
      <c r="D21" s="28"/>
      <c r="E21" s="28"/>
      <c r="F21" s="28"/>
      <c r="G21" s="28"/>
      <c r="H21" s="28"/>
      <c r="I21" s="64"/>
      <c r="J21" s="70"/>
      <c r="K21" s="72"/>
      <c r="L21" s="72"/>
      <c r="M21" s="72"/>
      <c r="N21" s="72"/>
      <c r="O21" s="72"/>
      <c r="P21" s="72"/>
      <c r="Q21" s="72"/>
      <c r="R21" s="72"/>
      <c r="S21" s="72"/>
      <c r="T21" s="72"/>
      <c r="U21" s="7"/>
      <c r="V21" s="7"/>
    </row>
    <row r="22" spans="1:20" s="7" customFormat="1" ht="33.75" customHeight="1">
      <c r="A22" s="47" t="s">
        <v>77</v>
      </c>
      <c r="B22" s="48" t="s">
        <v>482</v>
      </c>
      <c r="C22" s="49" t="s">
        <v>483</v>
      </c>
      <c r="D22" s="47" t="s">
        <v>484</v>
      </c>
      <c r="E22" s="50">
        <f>+'MEMORIA DE CALCULO'!L19</f>
        <v>20.1</v>
      </c>
      <c r="F22" s="34">
        <v>0</v>
      </c>
      <c r="G22" s="34">
        <f aca="true" t="shared" si="2" ref="G22:G28">TRUNC(F22+F22*$H$8,2)</f>
        <v>0</v>
      </c>
      <c r="H22" s="34">
        <f aca="true" t="shared" si="3" ref="H22:H28">TRUNC(E22*G22,2)</f>
        <v>0</v>
      </c>
      <c r="I22" s="78"/>
      <c r="J22" s="79"/>
      <c r="K22" s="72"/>
      <c r="L22" s="72"/>
      <c r="M22" s="72"/>
      <c r="N22" s="77"/>
      <c r="O22" s="72"/>
      <c r="P22" s="72"/>
      <c r="Q22" s="72"/>
      <c r="R22" s="72"/>
      <c r="S22" s="72"/>
      <c r="T22" s="72"/>
    </row>
    <row r="23" spans="1:20" s="7" customFormat="1" ht="33.75" customHeight="1">
      <c r="A23" s="47" t="s">
        <v>80</v>
      </c>
      <c r="B23" s="48" t="s">
        <v>485</v>
      </c>
      <c r="C23" s="49" t="s">
        <v>486</v>
      </c>
      <c r="D23" s="47" t="s">
        <v>484</v>
      </c>
      <c r="E23" s="50">
        <f>+'MEMORIA DE CALCULO'!L20</f>
        <v>26.1</v>
      </c>
      <c r="F23" s="34">
        <v>0</v>
      </c>
      <c r="G23" s="34">
        <f t="shared" si="2"/>
        <v>0</v>
      </c>
      <c r="H23" s="34">
        <f t="shared" si="3"/>
        <v>0</v>
      </c>
      <c r="I23" s="78"/>
      <c r="J23" s="79"/>
      <c r="K23" s="72"/>
      <c r="L23" s="72"/>
      <c r="M23" s="72"/>
      <c r="N23" s="77"/>
      <c r="O23" s="72"/>
      <c r="P23" s="72"/>
      <c r="Q23" s="72"/>
      <c r="R23" s="72"/>
      <c r="S23" s="72"/>
      <c r="T23" s="72"/>
    </row>
    <row r="24" spans="1:20" s="7" customFormat="1" ht="33.75" customHeight="1">
      <c r="A24" s="47" t="s">
        <v>83</v>
      </c>
      <c r="B24" s="48" t="s">
        <v>487</v>
      </c>
      <c r="C24" s="49" t="s">
        <v>488</v>
      </c>
      <c r="D24" s="47" t="s">
        <v>466</v>
      </c>
      <c r="E24" s="50">
        <f>+'MEMORIA DE CALCULO'!L21</f>
        <v>7920</v>
      </c>
      <c r="F24" s="34">
        <v>0</v>
      </c>
      <c r="G24" s="34">
        <f t="shared" si="2"/>
        <v>0</v>
      </c>
      <c r="H24" s="34">
        <f t="shared" si="3"/>
        <v>0</v>
      </c>
      <c r="I24" s="78"/>
      <c r="J24" s="79"/>
      <c r="K24" s="72"/>
      <c r="L24" s="72"/>
      <c r="M24" s="72"/>
      <c r="N24" s="77"/>
      <c r="O24" s="72"/>
      <c r="P24" s="72"/>
      <c r="Q24" s="72"/>
      <c r="R24" s="72"/>
      <c r="S24" s="72"/>
      <c r="T24" s="72"/>
    </row>
    <row r="25" spans="1:20" s="7" customFormat="1" ht="33.75" customHeight="1">
      <c r="A25" s="47" t="s">
        <v>86</v>
      </c>
      <c r="B25" s="48" t="s">
        <v>489</v>
      </c>
      <c r="C25" s="51" t="s">
        <v>490</v>
      </c>
      <c r="D25" s="47" t="s">
        <v>466</v>
      </c>
      <c r="E25" s="50">
        <f>+'MEMORIA DE CALCULO'!L22</f>
        <v>356.4</v>
      </c>
      <c r="F25" s="34">
        <v>0</v>
      </c>
      <c r="G25" s="34">
        <f t="shared" si="2"/>
        <v>0</v>
      </c>
      <c r="H25" s="34">
        <f t="shared" si="3"/>
        <v>0</v>
      </c>
      <c r="I25" s="78"/>
      <c r="J25" s="79"/>
      <c r="K25" s="72"/>
      <c r="L25" s="72"/>
      <c r="M25" s="72"/>
      <c r="N25" s="77"/>
      <c r="O25" s="72"/>
      <c r="P25" s="72"/>
      <c r="Q25" s="72"/>
      <c r="R25" s="72"/>
      <c r="S25" s="72"/>
      <c r="T25" s="72"/>
    </row>
    <row r="26" spans="1:20" s="7" customFormat="1" ht="33.75" customHeight="1">
      <c r="A26" s="47" t="s">
        <v>89</v>
      </c>
      <c r="B26" s="48" t="s">
        <v>491</v>
      </c>
      <c r="C26" s="49" t="s">
        <v>492</v>
      </c>
      <c r="D26" s="47" t="s">
        <v>466</v>
      </c>
      <c r="E26" s="50">
        <f>+'MEMORIA DE CALCULO'!L23</f>
        <v>7920</v>
      </c>
      <c r="F26" s="34">
        <v>0</v>
      </c>
      <c r="G26" s="34">
        <f t="shared" si="2"/>
        <v>0</v>
      </c>
      <c r="H26" s="34">
        <f t="shared" si="3"/>
        <v>0</v>
      </c>
      <c r="I26" s="78"/>
      <c r="J26" s="79"/>
      <c r="K26" s="72"/>
      <c r="L26" s="72"/>
      <c r="M26" s="72"/>
      <c r="N26" s="77"/>
      <c r="O26" s="72"/>
      <c r="P26" s="72"/>
      <c r="Q26" s="72"/>
      <c r="R26" s="72"/>
      <c r="S26" s="72"/>
      <c r="T26" s="72"/>
    </row>
    <row r="27" spans="1:20" s="7" customFormat="1" ht="33.75" customHeight="1">
      <c r="A27" s="47" t="s">
        <v>92</v>
      </c>
      <c r="B27" s="48" t="s">
        <v>493</v>
      </c>
      <c r="C27" s="49" t="s">
        <v>494</v>
      </c>
      <c r="D27" s="47" t="s">
        <v>495</v>
      </c>
      <c r="E27" s="50">
        <f>+'MEMORIA DE CALCULO'!L24</f>
        <v>1260</v>
      </c>
      <c r="F27" s="34">
        <v>0</v>
      </c>
      <c r="G27" s="34">
        <f t="shared" si="2"/>
        <v>0</v>
      </c>
      <c r="H27" s="34">
        <f t="shared" si="3"/>
        <v>0</v>
      </c>
      <c r="I27" s="78"/>
      <c r="J27" s="79"/>
      <c r="K27" s="72"/>
      <c r="L27" s="72"/>
      <c r="M27" s="72"/>
      <c r="N27" s="77"/>
      <c r="O27" s="72"/>
      <c r="P27" s="72"/>
      <c r="Q27" s="72"/>
      <c r="R27" s="72"/>
      <c r="S27" s="72"/>
      <c r="T27" s="72"/>
    </row>
    <row r="28" spans="1:20" s="7" customFormat="1" ht="33.75" customHeight="1">
      <c r="A28" s="47" t="s">
        <v>95</v>
      </c>
      <c r="B28" s="48" t="s">
        <v>496</v>
      </c>
      <c r="C28" s="49" t="s">
        <v>497</v>
      </c>
      <c r="D28" s="47" t="s">
        <v>495</v>
      </c>
      <c r="E28" s="50">
        <f>+'MEMORIA DE CALCULO'!L25</f>
        <v>1260</v>
      </c>
      <c r="F28" s="34">
        <v>0</v>
      </c>
      <c r="G28" s="34">
        <f t="shared" si="2"/>
        <v>0</v>
      </c>
      <c r="H28" s="34">
        <f t="shared" si="3"/>
        <v>0</v>
      </c>
      <c r="I28" s="78"/>
      <c r="J28" s="79"/>
      <c r="K28" s="72"/>
      <c r="L28" s="72"/>
      <c r="M28" s="72"/>
      <c r="N28" s="77"/>
      <c r="O28" s="72"/>
      <c r="P28" s="72"/>
      <c r="Q28" s="72"/>
      <c r="R28" s="72"/>
      <c r="S28" s="72"/>
      <c r="T28" s="72"/>
    </row>
    <row r="29" spans="1:22" s="4" customFormat="1" ht="33.75" customHeight="1">
      <c r="A29" s="36" t="s">
        <v>498</v>
      </c>
      <c r="B29" s="36"/>
      <c r="C29" s="36"/>
      <c r="D29" s="36"/>
      <c r="E29" s="36"/>
      <c r="F29" s="36"/>
      <c r="G29" s="36"/>
      <c r="H29" s="52">
        <f>SUM(H22:H28)</f>
        <v>0</v>
      </c>
      <c r="I29" s="64"/>
      <c r="J29" s="80"/>
      <c r="K29" s="72"/>
      <c r="L29" s="72"/>
      <c r="M29" s="72"/>
      <c r="N29" s="72"/>
      <c r="O29" s="72"/>
      <c r="P29" s="72"/>
      <c r="Q29" s="72"/>
      <c r="R29" s="72"/>
      <c r="S29" s="72"/>
      <c r="T29" s="72"/>
      <c r="U29" s="7"/>
      <c r="V29" s="7"/>
    </row>
    <row r="30" spans="1:22" s="4" customFormat="1" ht="33.75" customHeight="1">
      <c r="A30" s="27" t="s">
        <v>499</v>
      </c>
      <c r="B30" s="53" t="s">
        <v>500</v>
      </c>
      <c r="C30" s="53"/>
      <c r="D30" s="53"/>
      <c r="E30" s="53"/>
      <c r="F30" s="53"/>
      <c r="G30" s="53"/>
      <c r="H30" s="53"/>
      <c r="I30" s="64"/>
      <c r="J30" s="70"/>
      <c r="K30" s="72"/>
      <c r="L30" s="72"/>
      <c r="M30" s="72"/>
      <c r="N30" s="72"/>
      <c r="O30" s="72"/>
      <c r="P30" s="72"/>
      <c r="Q30" s="72"/>
      <c r="R30" s="72"/>
      <c r="S30" s="72"/>
      <c r="T30" s="72"/>
      <c r="U30" s="7"/>
      <c r="V30" s="7"/>
    </row>
    <row r="31" spans="1:20" s="7" customFormat="1" ht="33.75" customHeight="1">
      <c r="A31" s="47" t="s">
        <v>106</v>
      </c>
      <c r="B31" s="40" t="s">
        <v>501</v>
      </c>
      <c r="C31" s="54" t="s">
        <v>502</v>
      </c>
      <c r="D31" s="55" t="s">
        <v>466</v>
      </c>
      <c r="E31" s="56">
        <f>+'MEMORIA DE CALCULO'!L28</f>
        <v>386014.75</v>
      </c>
      <c r="F31" s="42">
        <v>0</v>
      </c>
      <c r="G31" s="34">
        <f aca="true" t="shared" si="4" ref="G31:G40">TRUNC(F31+F31*$H$8,2)</f>
        <v>0</v>
      </c>
      <c r="H31" s="34">
        <f aca="true" t="shared" si="5" ref="H31:H40">TRUNC(E31*G31,2)</f>
        <v>0</v>
      </c>
      <c r="I31" s="78"/>
      <c r="J31" s="70"/>
      <c r="K31" s="72"/>
      <c r="L31" s="72"/>
      <c r="M31" s="72"/>
      <c r="N31" s="77"/>
      <c r="O31" s="72"/>
      <c r="P31" s="72"/>
      <c r="Q31" s="72"/>
      <c r="R31" s="72"/>
      <c r="S31" s="72"/>
      <c r="T31" s="72"/>
    </row>
    <row r="32" spans="1:20" s="7" customFormat="1" ht="33.75" customHeight="1">
      <c r="A32" s="47" t="s">
        <v>109</v>
      </c>
      <c r="B32" s="40" t="s">
        <v>503</v>
      </c>
      <c r="C32" s="54" t="s">
        <v>504</v>
      </c>
      <c r="D32" s="47" t="s">
        <v>484</v>
      </c>
      <c r="E32" s="56">
        <f>+'MEMORIA DE CALCULO'!L29</f>
        <v>1619.64</v>
      </c>
      <c r="F32" s="42">
        <v>0</v>
      </c>
      <c r="G32" s="34">
        <f t="shared" si="4"/>
        <v>0</v>
      </c>
      <c r="H32" s="34">
        <f t="shared" si="5"/>
        <v>0</v>
      </c>
      <c r="I32" s="78"/>
      <c r="J32" s="70"/>
      <c r="K32" s="72"/>
      <c r="L32" s="72"/>
      <c r="M32" s="72"/>
      <c r="N32" s="77"/>
      <c r="O32" s="72"/>
      <c r="P32" s="72"/>
      <c r="Q32" s="72"/>
      <c r="R32" s="72"/>
      <c r="S32" s="72"/>
      <c r="T32" s="72"/>
    </row>
    <row r="33" spans="1:20" s="7" customFormat="1" ht="33.75" customHeight="1">
      <c r="A33" s="47" t="s">
        <v>112</v>
      </c>
      <c r="B33" s="48" t="s">
        <v>505</v>
      </c>
      <c r="C33" s="49" t="s">
        <v>506</v>
      </c>
      <c r="D33" s="47" t="s">
        <v>484</v>
      </c>
      <c r="E33" s="50">
        <f>+'MEMORIA DE CALCULO'!L30</f>
        <v>3094.58</v>
      </c>
      <c r="F33" s="42">
        <v>0</v>
      </c>
      <c r="G33" s="34">
        <f t="shared" si="4"/>
        <v>0</v>
      </c>
      <c r="H33" s="34">
        <f t="shared" si="5"/>
        <v>0</v>
      </c>
      <c r="I33" s="78"/>
      <c r="J33" s="70"/>
      <c r="K33" s="72"/>
      <c r="L33" s="72"/>
      <c r="M33" s="72"/>
      <c r="N33" s="77"/>
      <c r="O33" s="72"/>
      <c r="P33" s="72"/>
      <c r="Q33" s="72"/>
      <c r="R33" s="72"/>
      <c r="S33" s="72"/>
      <c r="T33" s="72"/>
    </row>
    <row r="34" spans="1:20" s="7" customFormat="1" ht="39" customHeight="1">
      <c r="A34" s="47" t="s">
        <v>115</v>
      </c>
      <c r="B34" s="48" t="s">
        <v>507</v>
      </c>
      <c r="C34" s="49" t="s">
        <v>508</v>
      </c>
      <c r="D34" s="47" t="s">
        <v>484</v>
      </c>
      <c r="E34" s="50">
        <f>+'MEMORIA DE CALCULO'!L31</f>
        <v>965.04</v>
      </c>
      <c r="F34" s="42">
        <v>0</v>
      </c>
      <c r="G34" s="34">
        <f t="shared" si="4"/>
        <v>0</v>
      </c>
      <c r="H34" s="34">
        <f t="shared" si="5"/>
        <v>0</v>
      </c>
      <c r="I34" s="78"/>
      <c r="J34" s="70"/>
      <c r="K34" s="72"/>
      <c r="L34" s="72"/>
      <c r="M34" s="72"/>
      <c r="N34" s="77"/>
      <c r="O34" s="72"/>
      <c r="P34" s="72"/>
      <c r="Q34" s="72"/>
      <c r="R34" s="72"/>
      <c r="S34" s="72"/>
      <c r="T34" s="72"/>
    </row>
    <row r="35" spans="1:20" s="7" customFormat="1" ht="39" customHeight="1">
      <c r="A35" s="47" t="s">
        <v>118</v>
      </c>
      <c r="B35" s="48" t="s">
        <v>509</v>
      </c>
      <c r="C35" s="49" t="s">
        <v>510</v>
      </c>
      <c r="D35" s="47" t="s">
        <v>484</v>
      </c>
      <c r="E35" s="50">
        <f>+'MEMORIA DE CALCULO'!L32</f>
        <v>1237.83</v>
      </c>
      <c r="F35" s="42">
        <v>0</v>
      </c>
      <c r="G35" s="34">
        <f t="shared" si="4"/>
        <v>0</v>
      </c>
      <c r="H35" s="34">
        <f t="shared" si="5"/>
        <v>0</v>
      </c>
      <c r="I35" s="78"/>
      <c r="J35" s="70"/>
      <c r="K35" s="81"/>
      <c r="L35" s="81"/>
      <c r="M35" s="72"/>
      <c r="N35" s="77"/>
      <c r="O35" s="72"/>
      <c r="P35" s="72"/>
      <c r="Q35" s="85"/>
      <c r="R35" s="72"/>
      <c r="S35" s="72"/>
      <c r="T35" s="72"/>
    </row>
    <row r="36" spans="1:20" s="7" customFormat="1" ht="39" customHeight="1">
      <c r="A36" s="47" t="s">
        <v>121</v>
      </c>
      <c r="B36" s="40" t="s">
        <v>511</v>
      </c>
      <c r="C36" s="54" t="s">
        <v>512</v>
      </c>
      <c r="D36" s="47" t="s">
        <v>484</v>
      </c>
      <c r="E36" s="56">
        <f>+'MEMORIA DE CALCULO'!L33</f>
        <v>618.92</v>
      </c>
      <c r="F36" s="42">
        <v>0</v>
      </c>
      <c r="G36" s="34">
        <f t="shared" si="4"/>
        <v>0</v>
      </c>
      <c r="H36" s="34">
        <f t="shared" si="5"/>
        <v>0</v>
      </c>
      <c r="I36" s="78"/>
      <c r="J36" s="70"/>
      <c r="K36" s="81"/>
      <c r="L36" s="81"/>
      <c r="M36" s="72"/>
      <c r="N36" s="72"/>
      <c r="O36" s="72"/>
      <c r="P36" s="72"/>
      <c r="Q36" s="85"/>
      <c r="R36" s="72"/>
      <c r="S36" s="72"/>
      <c r="T36" s="72"/>
    </row>
    <row r="37" spans="1:20" s="7" customFormat="1" ht="39" customHeight="1">
      <c r="A37" s="47" t="s">
        <v>513</v>
      </c>
      <c r="B37" s="48" t="s">
        <v>514</v>
      </c>
      <c r="C37" s="54" t="s">
        <v>515</v>
      </c>
      <c r="D37" s="47" t="s">
        <v>484</v>
      </c>
      <c r="E37" s="56">
        <f>+'MEMORIA DE CALCULO'!L34</f>
        <v>928.37</v>
      </c>
      <c r="F37" s="42">
        <v>0</v>
      </c>
      <c r="G37" s="34">
        <f t="shared" si="4"/>
        <v>0</v>
      </c>
      <c r="H37" s="34">
        <f t="shared" si="5"/>
        <v>0</v>
      </c>
      <c r="I37" s="78"/>
      <c r="J37" s="70"/>
      <c r="K37" s="81"/>
      <c r="L37" s="81"/>
      <c r="M37" s="72"/>
      <c r="N37" s="72"/>
      <c r="O37" s="72"/>
      <c r="P37" s="72"/>
      <c r="Q37" s="85"/>
      <c r="R37" s="72"/>
      <c r="S37" s="72"/>
      <c r="T37" s="72"/>
    </row>
    <row r="38" spans="1:20" s="7" customFormat="1" ht="39" customHeight="1">
      <c r="A38" s="47" t="s">
        <v>516</v>
      </c>
      <c r="B38" s="40" t="s">
        <v>517</v>
      </c>
      <c r="C38" s="54" t="s">
        <v>518</v>
      </c>
      <c r="D38" s="47" t="s">
        <v>484</v>
      </c>
      <c r="E38" s="56">
        <f>+'MEMORIA DE CALCULO'!L35</f>
        <v>309</v>
      </c>
      <c r="F38" s="42">
        <v>0</v>
      </c>
      <c r="G38" s="34">
        <f t="shared" si="4"/>
        <v>0</v>
      </c>
      <c r="H38" s="34">
        <f t="shared" si="5"/>
        <v>0</v>
      </c>
      <c r="I38" s="78"/>
      <c r="J38" s="70"/>
      <c r="K38" s="81"/>
      <c r="L38" s="81"/>
      <c r="M38" s="72"/>
      <c r="N38" s="72"/>
      <c r="O38" s="72"/>
      <c r="P38" s="72"/>
      <c r="Q38" s="85"/>
      <c r="R38" s="72"/>
      <c r="S38" s="72"/>
      <c r="T38" s="72"/>
    </row>
    <row r="39" spans="1:20" s="7" customFormat="1" ht="39" customHeight="1">
      <c r="A39" s="47" t="s">
        <v>519</v>
      </c>
      <c r="B39" s="48" t="s">
        <v>520</v>
      </c>
      <c r="C39" s="54" t="s">
        <v>521</v>
      </c>
      <c r="D39" s="47" t="s">
        <v>484</v>
      </c>
      <c r="E39" s="56">
        <f>+'MEMORIA DE CALCULO'!L36</f>
        <v>3860.15</v>
      </c>
      <c r="F39" s="42">
        <v>0</v>
      </c>
      <c r="G39" s="34">
        <f t="shared" si="4"/>
        <v>0</v>
      </c>
      <c r="H39" s="34">
        <f t="shared" si="5"/>
        <v>0</v>
      </c>
      <c r="I39" s="78"/>
      <c r="J39" s="70"/>
      <c r="K39" s="81"/>
      <c r="L39" s="81"/>
      <c r="M39" s="72"/>
      <c r="N39" s="72"/>
      <c r="O39" s="72"/>
      <c r="P39" s="72"/>
      <c r="Q39" s="85"/>
      <c r="R39" s="72"/>
      <c r="S39" s="72"/>
      <c r="T39" s="72"/>
    </row>
    <row r="40" spans="1:20" s="7" customFormat="1" ht="39" customHeight="1">
      <c r="A40" s="47" t="s">
        <v>522</v>
      </c>
      <c r="B40" s="57" t="s">
        <v>523</v>
      </c>
      <c r="C40" s="54" t="s">
        <v>524</v>
      </c>
      <c r="D40" s="47" t="s">
        <v>484</v>
      </c>
      <c r="E40" s="56">
        <f>+'MEMORIA DE CALCULO'!L37</f>
        <v>965.04</v>
      </c>
      <c r="F40" s="42">
        <v>0</v>
      </c>
      <c r="G40" s="34">
        <f t="shared" si="4"/>
        <v>0</v>
      </c>
      <c r="H40" s="34">
        <f t="shared" si="5"/>
        <v>0</v>
      </c>
      <c r="I40" s="78"/>
      <c r="J40" s="82"/>
      <c r="K40" s="81"/>
      <c r="L40" s="81"/>
      <c r="M40" s="72"/>
      <c r="N40" s="72"/>
      <c r="O40" s="72"/>
      <c r="P40" s="72"/>
      <c r="Q40" s="85"/>
      <c r="R40" s="72"/>
      <c r="S40" s="72"/>
      <c r="T40" s="72"/>
    </row>
    <row r="41" spans="1:22" s="4" customFormat="1" ht="33.75" customHeight="1">
      <c r="A41" s="36" t="s">
        <v>525</v>
      </c>
      <c r="B41" s="36"/>
      <c r="C41" s="36"/>
      <c r="D41" s="36"/>
      <c r="E41" s="36"/>
      <c r="F41" s="36"/>
      <c r="G41" s="36"/>
      <c r="H41" s="37">
        <f>SUM(H31:H40)</f>
        <v>0</v>
      </c>
      <c r="I41" s="64"/>
      <c r="J41" s="83"/>
      <c r="K41" s="72"/>
      <c r="L41" s="72"/>
      <c r="M41" s="72"/>
      <c r="N41" s="72"/>
      <c r="O41" s="72"/>
      <c r="P41" s="72"/>
      <c r="Q41" s="72"/>
      <c r="R41" s="72"/>
      <c r="S41" s="72"/>
      <c r="T41" s="72"/>
      <c r="U41" s="7"/>
      <c r="V41" s="7"/>
    </row>
    <row r="42" spans="1:22" s="4" customFormat="1" ht="33.75" customHeight="1">
      <c r="A42" s="27" t="s">
        <v>445</v>
      </c>
      <c r="B42" s="53" t="s">
        <v>526</v>
      </c>
      <c r="C42" s="53"/>
      <c r="D42" s="53"/>
      <c r="E42" s="53"/>
      <c r="F42" s="53"/>
      <c r="G42" s="53"/>
      <c r="H42" s="53"/>
      <c r="I42" s="64"/>
      <c r="J42" s="70"/>
      <c r="K42" s="72"/>
      <c r="L42" s="72"/>
      <c r="M42" s="72"/>
      <c r="N42" s="72"/>
      <c r="O42" s="72"/>
      <c r="P42" s="72"/>
      <c r="Q42" s="72"/>
      <c r="R42" s="72"/>
      <c r="S42" s="72"/>
      <c r="T42" s="72"/>
      <c r="U42" s="7"/>
      <c r="V42" s="7"/>
    </row>
    <row r="43" spans="1:20" s="7" customFormat="1" ht="40.5" customHeight="1">
      <c r="A43" s="47" t="s">
        <v>126</v>
      </c>
      <c r="B43" s="48" t="s">
        <v>527</v>
      </c>
      <c r="C43" s="58" t="s">
        <v>528</v>
      </c>
      <c r="D43" s="47" t="s">
        <v>466</v>
      </c>
      <c r="E43" s="50">
        <f>+'MEMORIA DE CALCULO'!L40</f>
        <v>800</v>
      </c>
      <c r="F43" s="34">
        <v>0</v>
      </c>
      <c r="G43" s="34">
        <f aca="true" t="shared" si="6" ref="G43:G65">TRUNC(F43+F43*$H$8,2)</f>
        <v>0</v>
      </c>
      <c r="H43" s="34">
        <f aca="true" t="shared" si="7" ref="H43:H65">TRUNC(E43*G43,2)</f>
        <v>0</v>
      </c>
      <c r="I43" s="78"/>
      <c r="J43" s="70"/>
      <c r="K43" s="72"/>
      <c r="L43" s="72"/>
      <c r="M43" s="72"/>
      <c r="N43" s="77"/>
      <c r="O43" s="72"/>
      <c r="P43" s="72"/>
      <c r="Q43" s="72"/>
      <c r="R43" s="72"/>
      <c r="S43" s="72"/>
      <c r="T43" s="72"/>
    </row>
    <row r="44" spans="1:20" s="7" customFormat="1" ht="72.75" customHeight="1">
      <c r="A44" s="47" t="s">
        <v>129</v>
      </c>
      <c r="B44" s="48" t="s">
        <v>529</v>
      </c>
      <c r="C44" s="58" t="s">
        <v>530</v>
      </c>
      <c r="D44" s="47" t="s">
        <v>466</v>
      </c>
      <c r="E44" s="50">
        <f>+'MEMORIA DE CALCULO'!L41</f>
        <v>7920</v>
      </c>
      <c r="F44" s="34">
        <v>0</v>
      </c>
      <c r="G44" s="34">
        <f t="shared" si="6"/>
        <v>0</v>
      </c>
      <c r="H44" s="34">
        <f t="shared" si="7"/>
        <v>0</v>
      </c>
      <c r="I44" s="78"/>
      <c r="J44" s="70"/>
      <c r="K44" s="72"/>
      <c r="L44" s="72"/>
      <c r="M44" s="72"/>
      <c r="N44" s="77"/>
      <c r="O44" s="72"/>
      <c r="P44" s="72"/>
      <c r="Q44" s="72"/>
      <c r="R44" s="72"/>
      <c r="S44" s="72"/>
      <c r="T44" s="72"/>
    </row>
    <row r="45" spans="1:20" s="7" customFormat="1" ht="39" customHeight="1">
      <c r="A45" s="47" t="s">
        <v>132</v>
      </c>
      <c r="B45" s="48" t="s">
        <v>531</v>
      </c>
      <c r="C45" s="59" t="s">
        <v>532</v>
      </c>
      <c r="D45" s="47" t="s">
        <v>495</v>
      </c>
      <c r="E45" s="50">
        <v>1260</v>
      </c>
      <c r="F45" s="34">
        <v>0</v>
      </c>
      <c r="G45" s="34">
        <f t="shared" si="6"/>
        <v>0</v>
      </c>
      <c r="H45" s="34">
        <f t="shared" si="7"/>
        <v>0</v>
      </c>
      <c r="I45" s="78"/>
      <c r="J45" s="70"/>
      <c r="K45" s="72"/>
      <c r="L45" s="72"/>
      <c r="M45" s="72"/>
      <c r="N45" s="77"/>
      <c r="O45" s="72"/>
      <c r="P45" s="72"/>
      <c r="Q45" s="72"/>
      <c r="R45" s="72"/>
      <c r="S45" s="72"/>
      <c r="T45" s="72"/>
    </row>
    <row r="46" spans="1:20" s="7" customFormat="1" ht="66.75" customHeight="1">
      <c r="A46" s="47" t="s">
        <v>135</v>
      </c>
      <c r="B46" s="48" t="s">
        <v>533</v>
      </c>
      <c r="C46" s="58" t="s">
        <v>534</v>
      </c>
      <c r="D46" s="47" t="s">
        <v>495</v>
      </c>
      <c r="E46" s="50">
        <v>1260</v>
      </c>
      <c r="F46" s="34">
        <v>0</v>
      </c>
      <c r="G46" s="34">
        <f t="shared" si="6"/>
        <v>0</v>
      </c>
      <c r="H46" s="34">
        <f t="shared" si="7"/>
        <v>0</v>
      </c>
      <c r="I46" s="78"/>
      <c r="J46" s="70"/>
      <c r="K46" s="72"/>
      <c r="L46" s="72"/>
      <c r="M46" s="72"/>
      <c r="N46" s="77"/>
      <c r="O46" s="72"/>
      <c r="P46" s="72"/>
      <c r="Q46" s="72"/>
      <c r="R46" s="72"/>
      <c r="S46" s="72"/>
      <c r="T46" s="72"/>
    </row>
    <row r="47" spans="1:20" s="7" customFormat="1" ht="51" customHeight="1">
      <c r="A47" s="47" t="s">
        <v>138</v>
      </c>
      <c r="B47" s="48" t="s">
        <v>535</v>
      </c>
      <c r="C47" s="58" t="s">
        <v>536</v>
      </c>
      <c r="D47" s="47" t="s">
        <v>484</v>
      </c>
      <c r="E47" s="50">
        <f>+'MEMORIA DE CALCULO'!L44</f>
        <v>396</v>
      </c>
      <c r="F47" s="34">
        <v>0</v>
      </c>
      <c r="G47" s="34">
        <f t="shared" si="6"/>
        <v>0</v>
      </c>
      <c r="H47" s="34">
        <f t="shared" si="7"/>
        <v>0</v>
      </c>
      <c r="I47" s="78"/>
      <c r="J47" s="70"/>
      <c r="K47" s="72"/>
      <c r="L47" s="72"/>
      <c r="M47" s="72"/>
      <c r="N47" s="77"/>
      <c r="O47" s="72"/>
      <c r="P47" s="72"/>
      <c r="Q47" s="72"/>
      <c r="R47" s="72"/>
      <c r="S47" s="72"/>
      <c r="T47" s="72"/>
    </row>
    <row r="48" spans="1:20" s="7" customFormat="1" ht="40.5" customHeight="1">
      <c r="A48" s="47" t="s">
        <v>537</v>
      </c>
      <c r="B48" s="48" t="s">
        <v>538</v>
      </c>
      <c r="C48" s="58" t="s">
        <v>539</v>
      </c>
      <c r="D48" s="47" t="s">
        <v>401</v>
      </c>
      <c r="E48" s="50">
        <f>+'MEMORIA DE CALCULO'!L45</f>
        <v>67320</v>
      </c>
      <c r="F48" s="34">
        <v>0</v>
      </c>
      <c r="G48" s="34">
        <f t="shared" si="6"/>
        <v>0</v>
      </c>
      <c r="H48" s="34">
        <f t="shared" si="7"/>
        <v>0</v>
      </c>
      <c r="I48" s="78"/>
      <c r="J48" s="70"/>
      <c r="K48" s="72"/>
      <c r="L48" s="72"/>
      <c r="M48" s="72"/>
      <c r="N48" s="77"/>
      <c r="O48" s="72"/>
      <c r="P48" s="72"/>
      <c r="Q48" s="72"/>
      <c r="R48" s="72"/>
      <c r="S48" s="72"/>
      <c r="T48" s="72"/>
    </row>
    <row r="49" spans="1:20" s="7" customFormat="1" ht="40.5" customHeight="1">
      <c r="A49" s="47" t="s">
        <v>141</v>
      </c>
      <c r="B49" s="48" t="s">
        <v>540</v>
      </c>
      <c r="C49" s="58" t="s">
        <v>541</v>
      </c>
      <c r="D49" s="47" t="s">
        <v>484</v>
      </c>
      <c r="E49" s="50">
        <f>+'MEMORIA DE CALCULO'!L47</f>
        <v>396</v>
      </c>
      <c r="F49" s="34">
        <v>0</v>
      </c>
      <c r="G49" s="34">
        <f t="shared" si="6"/>
        <v>0</v>
      </c>
      <c r="H49" s="34">
        <f t="shared" si="7"/>
        <v>0</v>
      </c>
      <c r="I49" s="78"/>
      <c r="J49" s="70"/>
      <c r="K49" s="72"/>
      <c r="L49" s="72"/>
      <c r="M49" s="72"/>
      <c r="N49" s="77"/>
      <c r="O49" s="72"/>
      <c r="P49" s="72"/>
      <c r="Q49" s="72"/>
      <c r="R49" s="72"/>
      <c r="S49" s="72"/>
      <c r="T49" s="72"/>
    </row>
    <row r="50" spans="1:20" s="7" customFormat="1" ht="40.5" customHeight="1">
      <c r="A50" s="47" t="s">
        <v>144</v>
      </c>
      <c r="B50" s="48" t="s">
        <v>542</v>
      </c>
      <c r="C50" s="58" t="s">
        <v>543</v>
      </c>
      <c r="D50" s="47" t="s">
        <v>484</v>
      </c>
      <c r="E50" s="50">
        <f>+'MEMORIA DE CALCULO'!L47</f>
        <v>396</v>
      </c>
      <c r="F50" s="34">
        <v>0</v>
      </c>
      <c r="G50" s="34">
        <f t="shared" si="6"/>
        <v>0</v>
      </c>
      <c r="H50" s="34">
        <f t="shared" si="7"/>
        <v>0</v>
      </c>
      <c r="I50" s="78"/>
      <c r="J50" s="70"/>
      <c r="K50" s="72"/>
      <c r="L50" s="72"/>
      <c r="M50" s="72"/>
      <c r="N50" s="77"/>
      <c r="O50" s="72"/>
      <c r="P50" s="72"/>
      <c r="Q50" s="72"/>
      <c r="R50" s="72"/>
      <c r="S50" s="72"/>
      <c r="T50" s="72"/>
    </row>
    <row r="51" spans="1:20" s="7" customFormat="1" ht="40.5" customHeight="1">
      <c r="A51" s="47" t="s">
        <v>147</v>
      </c>
      <c r="B51" s="48" t="s">
        <v>544</v>
      </c>
      <c r="C51" s="58" t="s">
        <v>545</v>
      </c>
      <c r="D51" s="47" t="s">
        <v>484</v>
      </c>
      <c r="E51" s="50">
        <f>+'MEMORIA DE CALCULO'!L48</f>
        <v>396</v>
      </c>
      <c r="F51" s="34">
        <v>0</v>
      </c>
      <c r="G51" s="34">
        <f t="shared" si="6"/>
        <v>0</v>
      </c>
      <c r="H51" s="34">
        <f t="shared" si="7"/>
        <v>0</v>
      </c>
      <c r="I51" s="78"/>
      <c r="J51" s="70"/>
      <c r="K51" s="72"/>
      <c r="L51" s="72"/>
      <c r="M51" s="72"/>
      <c r="N51" s="77"/>
      <c r="O51" s="72"/>
      <c r="P51" s="72"/>
      <c r="Q51" s="72"/>
      <c r="R51" s="72"/>
      <c r="S51" s="72"/>
      <c r="T51" s="72"/>
    </row>
    <row r="52" spans="1:20" s="7" customFormat="1" ht="54" customHeight="1">
      <c r="A52" s="47" t="s">
        <v>150</v>
      </c>
      <c r="B52" s="48" t="s">
        <v>546</v>
      </c>
      <c r="C52" s="58" t="s">
        <v>547</v>
      </c>
      <c r="D52" s="47" t="s">
        <v>466</v>
      </c>
      <c r="E52" s="50">
        <f>+'MEMORIA DE CALCULO'!L49</f>
        <v>8276.4</v>
      </c>
      <c r="F52" s="34">
        <v>0</v>
      </c>
      <c r="G52" s="34">
        <f t="shared" si="6"/>
        <v>0</v>
      </c>
      <c r="H52" s="34">
        <f t="shared" si="7"/>
        <v>0</v>
      </c>
      <c r="I52" s="78"/>
      <c r="J52" s="70"/>
      <c r="K52" s="72"/>
      <c r="L52" s="72"/>
      <c r="M52" s="72"/>
      <c r="N52" s="77"/>
      <c r="O52" s="72"/>
      <c r="P52" s="72"/>
      <c r="Q52" s="72"/>
      <c r="R52" s="72"/>
      <c r="S52" s="72"/>
      <c r="T52" s="72"/>
    </row>
    <row r="53" spans="1:20" s="7" customFormat="1" ht="40.5" customHeight="1">
      <c r="A53" s="47" t="s">
        <v>548</v>
      </c>
      <c r="B53" s="48" t="s">
        <v>549</v>
      </c>
      <c r="C53" s="58" t="s">
        <v>550</v>
      </c>
      <c r="D53" s="47" t="s">
        <v>401</v>
      </c>
      <c r="E53" s="50">
        <f>+'MEMORIA DE CALCULO'!L50</f>
        <v>4138.2</v>
      </c>
      <c r="F53" s="34">
        <v>0</v>
      </c>
      <c r="G53" s="34">
        <f t="shared" si="6"/>
        <v>0</v>
      </c>
      <c r="H53" s="34">
        <f t="shared" si="7"/>
        <v>0</v>
      </c>
      <c r="I53" s="78"/>
      <c r="J53" s="70"/>
      <c r="K53" s="72"/>
      <c r="L53" s="72"/>
      <c r="M53" s="72"/>
      <c r="N53" s="77"/>
      <c r="O53" s="72"/>
      <c r="P53" s="72"/>
      <c r="Q53" s="72"/>
      <c r="R53" s="72"/>
      <c r="S53" s="72"/>
      <c r="T53" s="72"/>
    </row>
    <row r="54" spans="1:20" s="7" customFormat="1" ht="33.75" customHeight="1">
      <c r="A54" s="47" t="s">
        <v>551</v>
      </c>
      <c r="B54" s="48" t="s">
        <v>552</v>
      </c>
      <c r="C54" s="58" t="s">
        <v>553</v>
      </c>
      <c r="D54" s="47" t="s">
        <v>484</v>
      </c>
      <c r="E54" s="50">
        <f>+'MEMORIA DE CALCULO'!L51</f>
        <v>396</v>
      </c>
      <c r="F54" s="34">
        <v>0</v>
      </c>
      <c r="G54" s="34">
        <f t="shared" si="6"/>
        <v>0</v>
      </c>
      <c r="H54" s="34">
        <f t="shared" si="7"/>
        <v>0</v>
      </c>
      <c r="I54" s="78"/>
      <c r="J54" s="70"/>
      <c r="K54" s="72"/>
      <c r="L54" s="72"/>
      <c r="M54" s="72"/>
      <c r="N54" s="77"/>
      <c r="O54" s="72"/>
      <c r="P54" s="72"/>
      <c r="Q54" s="72"/>
      <c r="R54" s="72"/>
      <c r="S54" s="72"/>
      <c r="T54" s="72"/>
    </row>
    <row r="55" spans="1:20" s="7" customFormat="1" ht="57.75" customHeight="1">
      <c r="A55" s="47" t="s">
        <v>554</v>
      </c>
      <c r="B55" s="48" t="s">
        <v>555</v>
      </c>
      <c r="C55" s="58" t="s">
        <v>556</v>
      </c>
      <c r="D55" s="47" t="s">
        <v>484</v>
      </c>
      <c r="E55" s="56">
        <f>+'MEMORIA DE CALCULO'!L52</f>
        <v>1853.39</v>
      </c>
      <c r="F55" s="34">
        <v>0</v>
      </c>
      <c r="G55" s="34">
        <f t="shared" si="6"/>
        <v>0</v>
      </c>
      <c r="H55" s="34">
        <f t="shared" si="7"/>
        <v>0</v>
      </c>
      <c r="I55" s="78"/>
      <c r="J55" s="72"/>
      <c r="K55" s="72"/>
      <c r="L55" s="72"/>
      <c r="M55" s="77"/>
      <c r="N55" s="72"/>
      <c r="O55" s="72"/>
      <c r="P55" s="72"/>
      <c r="Q55" s="72"/>
      <c r="R55" s="72"/>
      <c r="S55" s="72"/>
      <c r="T55" s="72"/>
    </row>
    <row r="56" spans="1:20" s="7" customFormat="1" ht="66.75" customHeight="1">
      <c r="A56" s="47" t="s">
        <v>557</v>
      </c>
      <c r="B56" s="40" t="s">
        <v>558</v>
      </c>
      <c r="C56" s="58" t="s">
        <v>559</v>
      </c>
      <c r="D56" s="47" t="s">
        <v>466</v>
      </c>
      <c r="E56" s="56">
        <f>+'MEMORIA DE CALCULO'!L53</f>
        <v>2337.5</v>
      </c>
      <c r="F56" s="34">
        <v>0</v>
      </c>
      <c r="G56" s="34">
        <f t="shared" si="6"/>
        <v>0</v>
      </c>
      <c r="H56" s="34">
        <f t="shared" si="7"/>
        <v>0</v>
      </c>
      <c r="I56" s="78"/>
      <c r="J56" s="72"/>
      <c r="K56" s="72"/>
      <c r="L56" s="72"/>
      <c r="M56" s="77"/>
      <c r="N56" s="72"/>
      <c r="O56" s="72"/>
      <c r="P56" s="72"/>
      <c r="Q56" s="72"/>
      <c r="R56" s="72"/>
      <c r="S56" s="72"/>
      <c r="T56" s="72"/>
    </row>
    <row r="57" spans="1:20" s="7" customFormat="1" ht="66.75" customHeight="1">
      <c r="A57" s="47" t="s">
        <v>560</v>
      </c>
      <c r="B57" s="40" t="s">
        <v>561</v>
      </c>
      <c r="C57" s="60" t="s">
        <v>562</v>
      </c>
      <c r="D57" s="47" t="s">
        <v>484</v>
      </c>
      <c r="E57" s="56">
        <f>+'MEMORIA DE CALCULO'!L54</f>
        <v>17.82</v>
      </c>
      <c r="F57" s="34">
        <v>0</v>
      </c>
      <c r="G57" s="34">
        <f t="shared" si="6"/>
        <v>0</v>
      </c>
      <c r="H57" s="34">
        <f t="shared" si="7"/>
        <v>0</v>
      </c>
      <c r="I57" s="78"/>
      <c r="J57" s="70"/>
      <c r="K57" s="72"/>
      <c r="L57" s="72"/>
      <c r="M57" s="72"/>
      <c r="N57" s="77"/>
      <c r="O57" s="72"/>
      <c r="P57" s="72"/>
      <c r="Q57" s="72"/>
      <c r="R57" s="72"/>
      <c r="S57" s="72"/>
      <c r="T57" s="72"/>
    </row>
    <row r="58" spans="1:20" s="7" customFormat="1" ht="40.5" customHeight="1">
      <c r="A58" s="47" t="s">
        <v>563</v>
      </c>
      <c r="B58" s="40" t="s">
        <v>564</v>
      </c>
      <c r="C58" s="58" t="s">
        <v>565</v>
      </c>
      <c r="D58" s="47" t="s">
        <v>401</v>
      </c>
      <c r="E58" s="56">
        <f>+'MEMORIA DE CALCULO'!L55</f>
        <v>2684.76</v>
      </c>
      <c r="F58" s="34">
        <v>0</v>
      </c>
      <c r="G58" s="34">
        <f t="shared" si="6"/>
        <v>0</v>
      </c>
      <c r="H58" s="34">
        <f t="shared" si="7"/>
        <v>0</v>
      </c>
      <c r="I58" s="78"/>
      <c r="J58" s="70"/>
      <c r="K58" s="72"/>
      <c r="L58" s="72"/>
      <c r="M58" s="72"/>
      <c r="N58" s="77"/>
      <c r="O58" s="72"/>
      <c r="P58" s="72"/>
      <c r="Q58" s="72"/>
      <c r="R58" s="72"/>
      <c r="S58" s="72"/>
      <c r="T58" s="72"/>
    </row>
    <row r="59" spans="1:20" s="7" customFormat="1" ht="33.75" customHeight="1">
      <c r="A59" s="47" t="s">
        <v>566</v>
      </c>
      <c r="B59" s="40" t="s">
        <v>567</v>
      </c>
      <c r="C59" s="58" t="s">
        <v>568</v>
      </c>
      <c r="D59" s="47" t="s">
        <v>484</v>
      </c>
      <c r="E59" s="56">
        <f>+'MEMORIA DE CALCULO'!L56</f>
        <v>14.26</v>
      </c>
      <c r="F59" s="34">
        <v>0</v>
      </c>
      <c r="G59" s="34">
        <f t="shared" si="6"/>
        <v>0</v>
      </c>
      <c r="H59" s="34">
        <f t="shared" si="7"/>
        <v>0</v>
      </c>
      <c r="I59" s="78"/>
      <c r="J59" s="70"/>
      <c r="K59" s="72"/>
      <c r="L59" s="72"/>
      <c r="M59" s="72"/>
      <c r="N59" s="77"/>
      <c r="O59" s="72"/>
      <c r="P59" s="72"/>
      <c r="Q59" s="72"/>
      <c r="R59" s="72"/>
      <c r="S59" s="72"/>
      <c r="T59" s="72"/>
    </row>
    <row r="60" spans="1:20" s="7" customFormat="1" ht="40.5" customHeight="1">
      <c r="A60" s="47" t="s">
        <v>569</v>
      </c>
      <c r="B60" s="40" t="s">
        <v>564</v>
      </c>
      <c r="C60" s="58" t="s">
        <v>565</v>
      </c>
      <c r="D60" s="47" t="s">
        <v>401</v>
      </c>
      <c r="E60" s="56">
        <f>+'MEMORIA DE CALCULO'!L57</f>
        <v>1540.08</v>
      </c>
      <c r="F60" s="34">
        <v>0</v>
      </c>
      <c r="G60" s="34">
        <f t="shared" si="6"/>
        <v>0</v>
      </c>
      <c r="H60" s="34">
        <f t="shared" si="7"/>
        <v>0</v>
      </c>
      <c r="I60" s="78"/>
      <c r="J60" s="70"/>
      <c r="K60" s="72"/>
      <c r="L60" s="72"/>
      <c r="M60" s="72"/>
      <c r="N60" s="77"/>
      <c r="O60" s="72"/>
      <c r="P60" s="72"/>
      <c r="Q60" s="72"/>
      <c r="R60" s="72"/>
      <c r="S60" s="72"/>
      <c r="T60" s="72"/>
    </row>
    <row r="61" spans="1:20" s="7" customFormat="1" ht="43.5" customHeight="1">
      <c r="A61" s="47" t="s">
        <v>570</v>
      </c>
      <c r="B61" s="40" t="s">
        <v>571</v>
      </c>
      <c r="C61" s="58" t="s">
        <v>572</v>
      </c>
      <c r="D61" s="47" t="s">
        <v>495</v>
      </c>
      <c r="E61" s="56">
        <f>+'MEMORIA DE CALCULO'!L58</f>
        <v>240</v>
      </c>
      <c r="F61" s="34">
        <v>0</v>
      </c>
      <c r="G61" s="34">
        <f t="shared" si="6"/>
        <v>0</v>
      </c>
      <c r="H61" s="34">
        <f t="shared" si="7"/>
        <v>0</v>
      </c>
      <c r="I61" s="78"/>
      <c r="J61" s="70"/>
      <c r="K61" s="72"/>
      <c r="L61" s="72"/>
      <c r="M61" s="72"/>
      <c r="N61" s="77"/>
      <c r="O61" s="72"/>
      <c r="P61" s="72"/>
      <c r="Q61" s="72"/>
      <c r="R61" s="72"/>
      <c r="S61" s="72"/>
      <c r="T61" s="72"/>
    </row>
    <row r="62" spans="1:20" s="7" customFormat="1" ht="33.75" customHeight="1">
      <c r="A62" s="47" t="s">
        <v>573</v>
      </c>
      <c r="B62" s="40" t="s">
        <v>574</v>
      </c>
      <c r="C62" s="58" t="s">
        <v>575</v>
      </c>
      <c r="D62" s="47" t="s">
        <v>495</v>
      </c>
      <c r="E62" s="56">
        <f>+'MEMORIA DE CALCULO'!L59</f>
        <v>560</v>
      </c>
      <c r="F62" s="34">
        <v>0</v>
      </c>
      <c r="G62" s="34">
        <f t="shared" si="6"/>
        <v>0</v>
      </c>
      <c r="H62" s="34">
        <f t="shared" si="7"/>
        <v>0</v>
      </c>
      <c r="I62" s="78"/>
      <c r="J62" s="70"/>
      <c r="K62" s="72"/>
      <c r="L62" s="72"/>
      <c r="M62" s="72"/>
      <c r="N62" s="77"/>
      <c r="O62" s="72"/>
      <c r="P62" s="72"/>
      <c r="Q62" s="72"/>
      <c r="R62" s="72"/>
      <c r="S62" s="72"/>
      <c r="T62" s="72"/>
    </row>
    <row r="63" spans="1:20" s="7" customFormat="1" ht="72" customHeight="1">
      <c r="A63" s="47" t="s">
        <v>576</v>
      </c>
      <c r="B63" s="40" t="s">
        <v>577</v>
      </c>
      <c r="C63" s="58" t="s">
        <v>578</v>
      </c>
      <c r="D63" s="47" t="s">
        <v>466</v>
      </c>
      <c r="E63" s="56">
        <f>+'MEMORIA DE CALCULO'!L60</f>
        <v>200</v>
      </c>
      <c r="F63" s="34">
        <v>0</v>
      </c>
      <c r="G63" s="34">
        <f t="shared" si="6"/>
        <v>0</v>
      </c>
      <c r="H63" s="34">
        <f t="shared" si="7"/>
        <v>0</v>
      </c>
      <c r="I63" s="78"/>
      <c r="J63" s="70"/>
      <c r="K63" s="72"/>
      <c r="L63" s="72"/>
      <c r="M63" s="72"/>
      <c r="N63" s="77"/>
      <c r="O63" s="72"/>
      <c r="P63" s="72"/>
      <c r="Q63" s="72"/>
      <c r="R63" s="72"/>
      <c r="S63" s="72"/>
      <c r="T63" s="72"/>
    </row>
    <row r="64" spans="1:20" s="7" customFormat="1" ht="33.75" customHeight="1">
      <c r="A64" s="47" t="s">
        <v>579</v>
      </c>
      <c r="B64" s="48" t="s">
        <v>580</v>
      </c>
      <c r="C64" s="54" t="s">
        <v>581</v>
      </c>
      <c r="D64" s="47" t="s">
        <v>466</v>
      </c>
      <c r="E64" s="56">
        <f>+'MEMORIA DE CALCULO'!L61</f>
        <v>200</v>
      </c>
      <c r="F64" s="34">
        <v>0</v>
      </c>
      <c r="G64" s="34">
        <f t="shared" si="6"/>
        <v>0</v>
      </c>
      <c r="H64" s="34">
        <f t="shared" si="7"/>
        <v>0</v>
      </c>
      <c r="I64" s="78"/>
      <c r="J64" s="70"/>
      <c r="K64" s="72"/>
      <c r="L64" s="72"/>
      <c r="M64" s="72"/>
      <c r="N64" s="77"/>
      <c r="O64" s="72"/>
      <c r="P64" s="72"/>
      <c r="Q64" s="72"/>
      <c r="R64" s="72"/>
      <c r="S64" s="72"/>
      <c r="T64" s="72"/>
    </row>
    <row r="65" spans="1:20" s="7" customFormat="1" ht="45.75" customHeight="1">
      <c r="A65" s="47" t="s">
        <v>582</v>
      </c>
      <c r="B65" s="48" t="s">
        <v>583</v>
      </c>
      <c r="C65" s="54" t="s">
        <v>584</v>
      </c>
      <c r="D65" s="47" t="s">
        <v>495</v>
      </c>
      <c r="E65" s="56">
        <f>+'MEMORIA DE CALCULO'!L62</f>
        <v>320</v>
      </c>
      <c r="F65" s="34">
        <v>0</v>
      </c>
      <c r="G65" s="34">
        <f t="shared" si="6"/>
        <v>0</v>
      </c>
      <c r="H65" s="34">
        <f t="shared" si="7"/>
        <v>0</v>
      </c>
      <c r="I65" s="78"/>
      <c r="J65" s="70"/>
      <c r="K65" s="72"/>
      <c r="L65" s="72"/>
      <c r="M65" s="72"/>
      <c r="N65" s="77"/>
      <c r="O65" s="72"/>
      <c r="P65" s="72"/>
      <c r="Q65" s="72"/>
      <c r="R65" s="72"/>
      <c r="S65" s="72"/>
      <c r="T65" s="72"/>
    </row>
    <row r="66" spans="1:22" s="4" customFormat="1" ht="33.75" customHeight="1">
      <c r="A66" s="36" t="s">
        <v>585</v>
      </c>
      <c r="B66" s="36"/>
      <c r="C66" s="36"/>
      <c r="D66" s="36"/>
      <c r="E66" s="36"/>
      <c r="F66" s="36"/>
      <c r="G66" s="36"/>
      <c r="H66" s="52">
        <f>SUM(H43:H65)</f>
        <v>0</v>
      </c>
      <c r="I66" s="64"/>
      <c r="J66" s="83"/>
      <c r="K66" s="72"/>
      <c r="L66" s="72"/>
      <c r="M66" s="72"/>
      <c r="N66" s="72"/>
      <c r="O66" s="72"/>
      <c r="P66" s="72"/>
      <c r="Q66" s="72"/>
      <c r="R66" s="72"/>
      <c r="S66" s="72"/>
      <c r="T66" s="72"/>
      <c r="U66" s="7"/>
      <c r="V66" s="7"/>
    </row>
    <row r="67" spans="1:20" s="7" customFormat="1" ht="33.75" customHeight="1">
      <c r="A67" s="27" t="s">
        <v>446</v>
      </c>
      <c r="B67" s="53" t="s">
        <v>586</v>
      </c>
      <c r="C67" s="53"/>
      <c r="D67" s="53"/>
      <c r="E67" s="53"/>
      <c r="F67" s="53"/>
      <c r="G67" s="53"/>
      <c r="H67" s="53"/>
      <c r="I67" s="78"/>
      <c r="J67" s="70"/>
      <c r="K67" s="72"/>
      <c r="L67" s="72"/>
      <c r="M67" s="72"/>
      <c r="N67" s="72"/>
      <c r="O67" s="72"/>
      <c r="P67" s="72"/>
      <c r="Q67" s="72"/>
      <c r="R67" s="72"/>
      <c r="S67" s="72"/>
      <c r="T67" s="72"/>
    </row>
    <row r="68" spans="1:20" s="7" customFormat="1" ht="33.75" customHeight="1">
      <c r="A68" s="47" t="s">
        <v>155</v>
      </c>
      <c r="B68" s="48" t="s">
        <v>587</v>
      </c>
      <c r="C68" s="54" t="s">
        <v>588</v>
      </c>
      <c r="D68" s="47" t="s">
        <v>589</v>
      </c>
      <c r="E68" s="50">
        <f>+'MEMORIA DE CALCULO'!L65</f>
        <v>20</v>
      </c>
      <c r="F68" s="34">
        <v>0</v>
      </c>
      <c r="G68" s="34">
        <f aca="true" t="shared" si="8" ref="G68:G79">TRUNC(F68+F68*$H$8,2)</f>
        <v>0</v>
      </c>
      <c r="H68" s="34">
        <f aca="true" t="shared" si="9" ref="H68:H79">TRUNC(E68*G68,2)</f>
        <v>0</v>
      </c>
      <c r="I68" s="78"/>
      <c r="J68" s="70"/>
      <c r="K68" s="72"/>
      <c r="L68" s="72"/>
      <c r="M68" s="72"/>
      <c r="N68" s="77"/>
      <c r="O68" s="72"/>
      <c r="P68" s="72"/>
      <c r="Q68" s="72"/>
      <c r="R68" s="72"/>
      <c r="S68" s="72"/>
      <c r="T68" s="72"/>
    </row>
    <row r="69" spans="1:20" s="7" customFormat="1" ht="40.5" customHeight="1">
      <c r="A69" s="47" t="s">
        <v>158</v>
      </c>
      <c r="B69" s="48" t="s">
        <v>590</v>
      </c>
      <c r="C69" s="54" t="s">
        <v>591</v>
      </c>
      <c r="D69" s="47" t="s">
        <v>589</v>
      </c>
      <c r="E69" s="50">
        <f>+'MEMORIA DE CALCULO'!L66</f>
        <v>10</v>
      </c>
      <c r="F69" s="34">
        <v>0</v>
      </c>
      <c r="G69" s="34">
        <f t="shared" si="8"/>
        <v>0</v>
      </c>
      <c r="H69" s="34">
        <f t="shared" si="9"/>
        <v>0</v>
      </c>
      <c r="I69" s="78"/>
      <c r="J69" s="70"/>
      <c r="K69" s="72"/>
      <c r="L69" s="72"/>
      <c r="M69" s="72"/>
      <c r="N69" s="77"/>
      <c r="O69" s="72"/>
      <c r="P69" s="72"/>
      <c r="Q69" s="72"/>
      <c r="R69" s="72"/>
      <c r="S69" s="72"/>
      <c r="T69" s="72"/>
    </row>
    <row r="70" spans="1:20" s="7" customFormat="1" ht="40.5" customHeight="1">
      <c r="A70" s="47" t="s">
        <v>161</v>
      </c>
      <c r="B70" s="48" t="s">
        <v>592</v>
      </c>
      <c r="C70" s="54" t="s">
        <v>593</v>
      </c>
      <c r="D70" s="47" t="s">
        <v>589</v>
      </c>
      <c r="E70" s="50">
        <f>+'MEMORIA DE CALCULO'!L67</f>
        <v>10</v>
      </c>
      <c r="F70" s="34">
        <v>0</v>
      </c>
      <c r="G70" s="34">
        <f t="shared" si="8"/>
        <v>0</v>
      </c>
      <c r="H70" s="34">
        <f t="shared" si="9"/>
        <v>0</v>
      </c>
      <c r="I70" s="78"/>
      <c r="J70" s="70"/>
      <c r="K70" s="72"/>
      <c r="L70" s="72"/>
      <c r="M70" s="72"/>
      <c r="N70" s="77"/>
      <c r="O70" s="72"/>
      <c r="P70" s="72"/>
      <c r="Q70" s="72"/>
      <c r="R70" s="72"/>
      <c r="S70" s="72"/>
      <c r="T70" s="72"/>
    </row>
    <row r="71" spans="1:20" s="7" customFormat="1" ht="64.5" customHeight="1">
      <c r="A71" s="47" t="s">
        <v>164</v>
      </c>
      <c r="B71" s="48" t="s">
        <v>594</v>
      </c>
      <c r="C71" s="54" t="s">
        <v>595</v>
      </c>
      <c r="D71" s="47" t="s">
        <v>589</v>
      </c>
      <c r="E71" s="50">
        <f>+'MEMORIA DE CALCULO'!L68</f>
        <v>10</v>
      </c>
      <c r="F71" s="34">
        <v>0</v>
      </c>
      <c r="G71" s="34">
        <f t="shared" si="8"/>
        <v>0</v>
      </c>
      <c r="H71" s="34">
        <f t="shared" si="9"/>
        <v>0</v>
      </c>
      <c r="I71" s="78"/>
      <c r="J71" s="70"/>
      <c r="K71" s="72"/>
      <c r="L71" s="72"/>
      <c r="M71" s="72"/>
      <c r="N71" s="77"/>
      <c r="O71" s="72"/>
      <c r="P71" s="72"/>
      <c r="Q71" s="72"/>
      <c r="R71" s="72"/>
      <c r="S71" s="72"/>
      <c r="T71" s="72"/>
    </row>
    <row r="72" spans="1:20" s="7" customFormat="1" ht="69.75" customHeight="1">
      <c r="A72" s="47" t="s">
        <v>167</v>
      </c>
      <c r="B72" s="48" t="s">
        <v>596</v>
      </c>
      <c r="C72" s="54" t="s">
        <v>597</v>
      </c>
      <c r="D72" s="47" t="s">
        <v>589</v>
      </c>
      <c r="E72" s="50">
        <f>+'MEMORIA DE CALCULO'!L69</f>
        <v>10</v>
      </c>
      <c r="F72" s="34">
        <v>0</v>
      </c>
      <c r="G72" s="34">
        <f t="shared" si="8"/>
        <v>0</v>
      </c>
      <c r="H72" s="34">
        <f t="shared" si="9"/>
        <v>0</v>
      </c>
      <c r="I72" s="78"/>
      <c r="J72" s="70"/>
      <c r="K72" s="72"/>
      <c r="L72" s="72"/>
      <c r="M72" s="72"/>
      <c r="N72" s="77"/>
      <c r="O72" s="72"/>
      <c r="P72" s="72"/>
      <c r="Q72" s="72"/>
      <c r="R72" s="72"/>
      <c r="S72" s="72"/>
      <c r="T72" s="72"/>
    </row>
    <row r="73" spans="1:20" s="7" customFormat="1" ht="66.75" customHeight="1">
      <c r="A73" s="47" t="s">
        <v>170</v>
      </c>
      <c r="B73" s="48" t="s">
        <v>598</v>
      </c>
      <c r="C73" s="54" t="s">
        <v>599</v>
      </c>
      <c r="D73" s="47" t="s">
        <v>495</v>
      </c>
      <c r="E73" s="50">
        <f>'MEMORIA DE CALCULO'!L70</f>
        <v>10</v>
      </c>
      <c r="F73" s="34">
        <v>0</v>
      </c>
      <c r="G73" s="34">
        <f t="shared" si="8"/>
        <v>0</v>
      </c>
      <c r="H73" s="34">
        <f t="shared" si="9"/>
        <v>0</v>
      </c>
      <c r="I73" s="78"/>
      <c r="J73" s="70"/>
      <c r="K73" s="72"/>
      <c r="L73" s="72"/>
      <c r="M73" s="72"/>
      <c r="N73" s="77"/>
      <c r="O73" s="72"/>
      <c r="P73" s="72"/>
      <c r="Q73" s="72"/>
      <c r="R73" s="72"/>
      <c r="S73" s="72"/>
      <c r="T73" s="72"/>
    </row>
    <row r="74" spans="1:20" s="7" customFormat="1" ht="63.75" customHeight="1">
      <c r="A74" s="47" t="s">
        <v>173</v>
      </c>
      <c r="B74" s="48" t="s">
        <v>600</v>
      </c>
      <c r="C74" s="54" t="s">
        <v>601</v>
      </c>
      <c r="D74" s="47" t="s">
        <v>495</v>
      </c>
      <c r="E74" s="50">
        <f>+'MEMORIA DE CALCULO'!L71</f>
        <v>30</v>
      </c>
      <c r="F74" s="34">
        <v>0</v>
      </c>
      <c r="G74" s="34">
        <f t="shared" si="8"/>
        <v>0</v>
      </c>
      <c r="H74" s="34">
        <f t="shared" si="9"/>
        <v>0</v>
      </c>
      <c r="I74" s="78"/>
      <c r="J74" s="70"/>
      <c r="K74" s="72"/>
      <c r="L74" s="72"/>
      <c r="M74" s="72"/>
      <c r="N74" s="77"/>
      <c r="O74" s="72"/>
      <c r="P74" s="72"/>
      <c r="Q74" s="72"/>
      <c r="R74" s="72"/>
      <c r="S74" s="72"/>
      <c r="T74" s="72"/>
    </row>
    <row r="75" spans="1:20" s="7" customFormat="1" ht="63" customHeight="1">
      <c r="A75" s="47" t="s">
        <v>176</v>
      </c>
      <c r="B75" s="48" t="s">
        <v>602</v>
      </c>
      <c r="C75" s="54" t="s">
        <v>603</v>
      </c>
      <c r="D75" s="47" t="s">
        <v>495</v>
      </c>
      <c r="E75" s="50">
        <f>+'MEMORIA DE CALCULO'!L72</f>
        <v>30</v>
      </c>
      <c r="F75" s="34">
        <v>0</v>
      </c>
      <c r="G75" s="34">
        <f t="shared" si="8"/>
        <v>0</v>
      </c>
      <c r="H75" s="34">
        <f t="shared" si="9"/>
        <v>0</v>
      </c>
      <c r="I75" s="78"/>
      <c r="J75" s="70"/>
      <c r="K75" s="72"/>
      <c r="L75" s="72"/>
      <c r="M75" s="72"/>
      <c r="N75" s="77"/>
      <c r="O75" s="72"/>
      <c r="P75" s="72"/>
      <c r="Q75" s="72"/>
      <c r="R75" s="72"/>
      <c r="S75" s="72"/>
      <c r="T75" s="72"/>
    </row>
    <row r="76" spans="1:20" s="7" customFormat="1" ht="57" customHeight="1">
      <c r="A76" s="47" t="s">
        <v>179</v>
      </c>
      <c r="B76" s="48" t="s">
        <v>604</v>
      </c>
      <c r="C76" s="54" t="s">
        <v>605</v>
      </c>
      <c r="D76" s="47" t="s">
        <v>495</v>
      </c>
      <c r="E76" s="50">
        <f>+'MEMORIA DE CALCULO'!L73</f>
        <v>40</v>
      </c>
      <c r="F76" s="34">
        <v>0</v>
      </c>
      <c r="G76" s="34">
        <f t="shared" si="8"/>
        <v>0</v>
      </c>
      <c r="H76" s="34">
        <f t="shared" si="9"/>
        <v>0</v>
      </c>
      <c r="I76" s="78"/>
      <c r="J76" s="70"/>
      <c r="K76" s="72"/>
      <c r="L76" s="72"/>
      <c r="M76" s="72"/>
      <c r="N76" s="77"/>
      <c r="O76" s="72"/>
      <c r="P76" s="72"/>
      <c r="Q76" s="72"/>
      <c r="R76" s="72"/>
      <c r="S76" s="72"/>
      <c r="T76" s="72"/>
    </row>
    <row r="77" spans="1:20" s="7" customFormat="1" ht="63.75" customHeight="1">
      <c r="A77" s="47" t="s">
        <v>182</v>
      </c>
      <c r="B77" s="48" t="s">
        <v>606</v>
      </c>
      <c r="C77" s="54" t="s">
        <v>607</v>
      </c>
      <c r="D77" s="47" t="s">
        <v>495</v>
      </c>
      <c r="E77" s="50">
        <f>+'MEMORIA DE CALCULO'!L74</f>
        <v>30</v>
      </c>
      <c r="F77" s="34">
        <v>0</v>
      </c>
      <c r="G77" s="34">
        <f t="shared" si="8"/>
        <v>0</v>
      </c>
      <c r="H77" s="34">
        <f t="shared" si="9"/>
        <v>0</v>
      </c>
      <c r="I77" s="78"/>
      <c r="J77" s="70"/>
      <c r="K77" s="72"/>
      <c r="L77" s="72"/>
      <c r="M77" s="72"/>
      <c r="N77" s="77"/>
      <c r="O77" s="72"/>
      <c r="P77" s="72"/>
      <c r="Q77" s="72"/>
      <c r="R77" s="72"/>
      <c r="S77" s="72"/>
      <c r="T77" s="72"/>
    </row>
    <row r="78" spans="1:20" s="7" customFormat="1" ht="55.5" customHeight="1">
      <c r="A78" s="47" t="s">
        <v>185</v>
      </c>
      <c r="B78" s="48" t="s">
        <v>608</v>
      </c>
      <c r="C78" s="54" t="s">
        <v>609</v>
      </c>
      <c r="D78" s="47" t="s">
        <v>495</v>
      </c>
      <c r="E78" s="50">
        <f>+'MEMORIA DE CALCULO'!L75</f>
        <v>60</v>
      </c>
      <c r="F78" s="34">
        <v>0</v>
      </c>
      <c r="G78" s="34">
        <f t="shared" si="8"/>
        <v>0</v>
      </c>
      <c r="H78" s="34">
        <f t="shared" si="9"/>
        <v>0</v>
      </c>
      <c r="I78" s="78"/>
      <c r="J78" s="70"/>
      <c r="K78" s="72"/>
      <c r="L78" s="72"/>
      <c r="M78" s="72"/>
      <c r="N78" s="77"/>
      <c r="O78" s="72"/>
      <c r="P78" s="72"/>
      <c r="Q78" s="72"/>
      <c r="R78" s="72"/>
      <c r="S78" s="72"/>
      <c r="T78" s="72"/>
    </row>
    <row r="79" spans="1:20" s="7" customFormat="1" ht="33.75" customHeight="1">
      <c r="A79" s="47" t="s">
        <v>188</v>
      </c>
      <c r="B79" s="48" t="s">
        <v>610</v>
      </c>
      <c r="C79" s="54" t="s">
        <v>611</v>
      </c>
      <c r="D79" s="47" t="s">
        <v>495</v>
      </c>
      <c r="E79" s="50">
        <f>+'MEMORIA DE CALCULO'!L76</f>
        <v>30</v>
      </c>
      <c r="F79" s="34">
        <v>0</v>
      </c>
      <c r="G79" s="34">
        <f t="shared" si="8"/>
        <v>0</v>
      </c>
      <c r="H79" s="34">
        <f t="shared" si="9"/>
        <v>0</v>
      </c>
      <c r="I79" s="78"/>
      <c r="J79" s="70"/>
      <c r="K79" s="72"/>
      <c r="L79" s="72"/>
      <c r="M79" s="72"/>
      <c r="N79" s="77"/>
      <c r="O79" s="72"/>
      <c r="P79" s="72"/>
      <c r="Q79" s="72"/>
      <c r="R79" s="72"/>
      <c r="S79" s="72"/>
      <c r="T79" s="72"/>
    </row>
    <row r="80" spans="1:22" s="4" customFormat="1" ht="33.75" customHeight="1">
      <c r="A80" s="36" t="s">
        <v>612</v>
      </c>
      <c r="B80" s="36"/>
      <c r="C80" s="36"/>
      <c r="D80" s="36"/>
      <c r="E80" s="36"/>
      <c r="F80" s="36"/>
      <c r="G80" s="36"/>
      <c r="H80" s="52">
        <f>SUM(H68:H79)</f>
        <v>0</v>
      </c>
      <c r="I80" s="64"/>
      <c r="J80" s="83"/>
      <c r="K80" s="72"/>
      <c r="L80" s="72"/>
      <c r="M80" s="72"/>
      <c r="N80" s="72"/>
      <c r="O80" s="72"/>
      <c r="P80" s="72"/>
      <c r="Q80" s="72"/>
      <c r="R80" s="72"/>
      <c r="S80" s="72"/>
      <c r="T80" s="72"/>
      <c r="U80" s="7"/>
      <c r="V80" s="7"/>
    </row>
    <row r="81" spans="1:22" s="4" customFormat="1" ht="33.75" customHeight="1">
      <c r="A81" s="27" t="s">
        <v>447</v>
      </c>
      <c r="B81" s="53" t="s">
        <v>613</v>
      </c>
      <c r="C81" s="53"/>
      <c r="D81" s="53"/>
      <c r="E81" s="53"/>
      <c r="F81" s="53"/>
      <c r="G81" s="53"/>
      <c r="H81" s="53"/>
      <c r="I81" s="64"/>
      <c r="J81" s="70"/>
      <c r="K81" s="72"/>
      <c r="L81" s="72"/>
      <c r="M81" s="72"/>
      <c r="N81" s="72"/>
      <c r="O81" s="72"/>
      <c r="P81" s="72"/>
      <c r="Q81" s="72"/>
      <c r="R81" s="72"/>
      <c r="S81" s="72"/>
      <c r="T81" s="72"/>
      <c r="U81" s="7"/>
      <c r="V81" s="7"/>
    </row>
    <row r="82" spans="1:20" s="7" customFormat="1" ht="42" customHeight="1">
      <c r="A82" s="47" t="s">
        <v>227</v>
      </c>
      <c r="B82" s="86" t="s">
        <v>614</v>
      </c>
      <c r="C82" s="59" t="s">
        <v>615</v>
      </c>
      <c r="D82" s="47" t="s">
        <v>616</v>
      </c>
      <c r="E82" s="56">
        <f>+'MEMORIA DE CALCULO'!L79</f>
        <v>1200</v>
      </c>
      <c r="F82" s="34">
        <v>0</v>
      </c>
      <c r="G82" s="34">
        <f>TRUNC(F82+F82*$H$8,2)</f>
        <v>0</v>
      </c>
      <c r="H82" s="34">
        <f>TRUNC(E82*G82,2)</f>
        <v>0</v>
      </c>
      <c r="I82" s="78"/>
      <c r="J82" s="70"/>
      <c r="K82" s="72"/>
      <c r="L82" s="72"/>
      <c r="M82" s="72"/>
      <c r="N82" s="72"/>
      <c r="O82" s="72"/>
      <c r="P82" s="72"/>
      <c r="Q82" s="72"/>
      <c r="R82" s="72"/>
      <c r="S82" s="72"/>
      <c r="T82" s="72"/>
    </row>
    <row r="83" spans="1:20" s="7" customFormat="1" ht="54.75" customHeight="1">
      <c r="A83" s="47" t="s">
        <v>231</v>
      </c>
      <c r="B83" s="48" t="s">
        <v>617</v>
      </c>
      <c r="C83" s="58" t="s">
        <v>618</v>
      </c>
      <c r="D83" s="47" t="s">
        <v>616</v>
      </c>
      <c r="E83" s="56">
        <f>+'MEMORIA DE CALCULO'!L80</f>
        <v>1200</v>
      </c>
      <c r="F83" s="34">
        <v>0</v>
      </c>
      <c r="G83" s="34">
        <f>TRUNC(F83+F83*$H$8,2)</f>
        <v>0</v>
      </c>
      <c r="H83" s="34">
        <f>TRUNC(E83*G83,2)</f>
        <v>0</v>
      </c>
      <c r="I83" s="78"/>
      <c r="J83" s="70"/>
      <c r="K83" s="72"/>
      <c r="L83" s="72"/>
      <c r="M83" s="72"/>
      <c r="N83" s="72"/>
      <c r="O83" s="72"/>
      <c r="P83" s="72"/>
      <c r="Q83" s="72"/>
      <c r="R83" s="72"/>
      <c r="S83" s="72"/>
      <c r="T83" s="72"/>
    </row>
    <row r="84" spans="1:22" s="4" customFormat="1" ht="33.75" customHeight="1">
      <c r="A84" s="36" t="s">
        <v>619</v>
      </c>
      <c r="B84" s="36"/>
      <c r="C84" s="36"/>
      <c r="D84" s="36"/>
      <c r="E84" s="36"/>
      <c r="F84" s="36"/>
      <c r="G84" s="36"/>
      <c r="H84" s="37">
        <f>SUM(H82:H83)</f>
        <v>0</v>
      </c>
      <c r="I84" s="64"/>
      <c r="J84" s="83"/>
      <c r="K84" s="72"/>
      <c r="L84" s="72"/>
      <c r="M84" s="72"/>
      <c r="N84" s="72"/>
      <c r="O84" s="72"/>
      <c r="P84" s="72"/>
      <c r="Q84" s="72"/>
      <c r="R84" s="72"/>
      <c r="S84" s="72"/>
      <c r="T84" s="72"/>
      <c r="U84" s="7"/>
      <c r="V84" s="7"/>
    </row>
    <row r="85" spans="1:22" s="4" customFormat="1" ht="33.75" customHeight="1">
      <c r="A85" s="87"/>
      <c r="B85" s="87"/>
      <c r="C85" s="87"/>
      <c r="D85" s="87"/>
      <c r="E85" s="87"/>
      <c r="F85" s="87"/>
      <c r="G85" s="88" t="s">
        <v>238</v>
      </c>
      <c r="H85" s="89">
        <f>H84+H80+H66+H41+H29+H20+H13</f>
        <v>0</v>
      </c>
      <c r="I85" s="64"/>
      <c r="J85" s="83"/>
      <c r="K85" s="72"/>
      <c r="L85" s="72"/>
      <c r="M85" s="72"/>
      <c r="N85" s="72"/>
      <c r="O85" s="72"/>
      <c r="P85" s="72"/>
      <c r="Q85" s="72"/>
      <c r="R85" s="72"/>
      <c r="S85" s="72"/>
      <c r="T85" s="72"/>
      <c r="U85" s="7"/>
      <c r="V85" s="7"/>
    </row>
    <row r="86" spans="1:22" s="4" customFormat="1" ht="33.75" customHeight="1">
      <c r="A86" s="90" t="s">
        <v>620</v>
      </c>
      <c r="B86" s="90"/>
      <c r="C86" s="91" t="s">
        <v>621</v>
      </c>
      <c r="D86" s="91"/>
      <c r="E86" s="91"/>
      <c r="F86" s="91"/>
      <c r="G86" s="91"/>
      <c r="H86" s="91"/>
      <c r="I86" s="64"/>
      <c r="J86" s="83"/>
      <c r="K86" s="72"/>
      <c r="L86" s="72"/>
      <c r="M86" s="72"/>
      <c r="N86" s="72"/>
      <c r="O86" s="72"/>
      <c r="P86" s="72"/>
      <c r="Q86" s="72"/>
      <c r="R86" s="72"/>
      <c r="S86" s="72"/>
      <c r="T86" s="72"/>
      <c r="U86" s="7"/>
      <c r="V86" s="7"/>
    </row>
    <row r="87" spans="1:22" s="4" customFormat="1" ht="30" customHeight="1">
      <c r="A87" s="92" t="str">
        <f>RESUMO!A32</f>
        <v>Camaragibe, 19 de abril de 2021.</v>
      </c>
      <c r="B87" s="92"/>
      <c r="C87" s="92"/>
      <c r="D87" s="92"/>
      <c r="E87" s="92"/>
      <c r="F87" s="92"/>
      <c r="G87" s="92"/>
      <c r="H87" s="92"/>
      <c r="I87" s="64"/>
      <c r="J87" s="83"/>
      <c r="K87" s="72"/>
      <c r="L87" s="72"/>
      <c r="M87" s="72"/>
      <c r="N87" s="72"/>
      <c r="O87" s="72"/>
      <c r="P87" s="72"/>
      <c r="Q87" s="72"/>
      <c r="R87" s="72"/>
      <c r="S87" s="72"/>
      <c r="T87" s="72"/>
      <c r="U87" s="7"/>
      <c r="V87" s="7"/>
    </row>
    <row r="88" spans="1:22" s="4" customFormat="1" ht="33.75" customHeight="1">
      <c r="A88" s="93"/>
      <c r="B88" s="93"/>
      <c r="C88" s="93"/>
      <c r="D88" s="93"/>
      <c r="E88" s="94"/>
      <c r="F88" s="93"/>
      <c r="G88" s="93"/>
      <c r="H88" s="93"/>
      <c r="I88" s="64"/>
      <c r="J88" s="83"/>
      <c r="K88" s="72"/>
      <c r="L88" s="72"/>
      <c r="M88" s="72"/>
      <c r="N88" s="72"/>
      <c r="O88" s="72"/>
      <c r="P88" s="72"/>
      <c r="Q88" s="72"/>
      <c r="R88" s="72"/>
      <c r="S88" s="72"/>
      <c r="T88" s="72"/>
      <c r="U88" s="7"/>
      <c r="V88" s="7"/>
    </row>
    <row r="89" spans="1:22" s="4" customFormat="1" ht="33.75" customHeight="1">
      <c r="A89" s="93"/>
      <c r="B89" s="93"/>
      <c r="C89" s="93"/>
      <c r="D89" s="93"/>
      <c r="E89" s="94"/>
      <c r="F89" s="93"/>
      <c r="G89" s="93"/>
      <c r="H89" s="93"/>
      <c r="I89" s="64"/>
      <c r="J89" s="83"/>
      <c r="K89" s="72"/>
      <c r="L89" s="72"/>
      <c r="M89" s="72"/>
      <c r="N89" s="72"/>
      <c r="O89" s="72"/>
      <c r="P89" s="72"/>
      <c r="Q89" s="72"/>
      <c r="R89" s="72"/>
      <c r="S89" s="72"/>
      <c r="T89" s="72"/>
      <c r="U89" s="7"/>
      <c r="V89" s="7"/>
    </row>
    <row r="90" spans="1:22" s="4" customFormat="1" ht="33.75" customHeight="1">
      <c r="A90" s="93"/>
      <c r="B90" s="93"/>
      <c r="C90" s="93"/>
      <c r="D90" s="93"/>
      <c r="E90" s="94"/>
      <c r="F90" s="93"/>
      <c r="G90" s="93"/>
      <c r="H90" s="93"/>
      <c r="I90" s="64"/>
      <c r="J90" s="83"/>
      <c r="K90" s="72"/>
      <c r="L90" s="72"/>
      <c r="M90" s="72"/>
      <c r="N90" s="72"/>
      <c r="O90" s="72"/>
      <c r="P90" s="72"/>
      <c r="Q90" s="72"/>
      <c r="R90" s="72"/>
      <c r="S90" s="72"/>
      <c r="T90" s="72"/>
      <c r="U90" s="7"/>
      <c r="V90" s="7"/>
    </row>
    <row r="91" spans="1:256" s="4" customFormat="1" ht="33.75" customHeight="1">
      <c r="A91" s="93"/>
      <c r="B91" s="93"/>
      <c r="C91" s="93"/>
      <c r="D91" s="93"/>
      <c r="E91" s="94"/>
      <c r="F91" s="93"/>
      <c r="G91" s="93"/>
      <c r="H91" s="93"/>
      <c r="I91" s="64"/>
      <c r="J91" s="70"/>
      <c r="K91" s="97"/>
      <c r="L91" s="97"/>
      <c r="M91" s="97"/>
      <c r="N91" s="97"/>
      <c r="O91" s="97"/>
      <c r="P91" s="97"/>
      <c r="Q91" s="97"/>
      <c r="R91" s="72"/>
      <c r="S91" s="97"/>
      <c r="T91" s="97"/>
      <c r="U91" s="13"/>
      <c r="V91" s="13"/>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2" s="8" customFormat="1" ht="33.75" customHeight="1">
      <c r="A92" s="95"/>
      <c r="B92" s="95"/>
      <c r="C92" s="95"/>
      <c r="D92" s="95"/>
      <c r="E92" s="95"/>
      <c r="F92" s="96"/>
      <c r="G92" s="95"/>
      <c r="H92" s="95"/>
      <c r="I92" s="64"/>
      <c r="J92" s="70"/>
      <c r="K92" s="97"/>
      <c r="L92" s="97"/>
      <c r="M92" s="97"/>
      <c r="N92" s="97"/>
      <c r="O92" s="97"/>
      <c r="P92" s="97"/>
      <c r="Q92" s="97"/>
      <c r="R92" s="72"/>
      <c r="S92" s="97"/>
      <c r="T92" s="97"/>
      <c r="U92" s="13"/>
      <c r="V92" s="13"/>
    </row>
    <row r="93" spans="5:22" s="8" customFormat="1" ht="33.75" customHeight="1">
      <c r="E93" s="9"/>
      <c r="F93" s="10"/>
      <c r="G93" s="11"/>
      <c r="H93" s="11"/>
      <c r="J93" s="98"/>
      <c r="K93" s="97"/>
      <c r="L93" s="97"/>
      <c r="M93" s="97"/>
      <c r="N93" s="97"/>
      <c r="O93" s="97"/>
      <c r="P93" s="97"/>
      <c r="Q93" s="97"/>
      <c r="R93" s="97"/>
      <c r="S93" s="97"/>
      <c r="T93" s="97"/>
      <c r="U93" s="13"/>
      <c r="V93" s="13"/>
    </row>
    <row r="94" spans="5:22" s="8" customFormat="1" ht="33.75" customHeight="1">
      <c r="E94" s="9"/>
      <c r="F94" s="10"/>
      <c r="G94" s="11"/>
      <c r="H94" s="11"/>
      <c r="J94" s="98"/>
      <c r="K94" s="97"/>
      <c r="L94" s="97"/>
      <c r="M94" s="97"/>
      <c r="N94" s="97"/>
      <c r="O94" s="97"/>
      <c r="P94" s="97"/>
      <c r="Q94" s="97"/>
      <c r="R94" s="97"/>
      <c r="S94" s="97"/>
      <c r="T94" s="97"/>
      <c r="U94" s="13"/>
      <c r="V94" s="13"/>
    </row>
    <row r="95" spans="5:22" s="8" customFormat="1" ht="33.75" customHeight="1">
      <c r="E95" s="9"/>
      <c r="F95" s="10"/>
      <c r="G95" s="11"/>
      <c r="H95" s="11"/>
      <c r="J95" s="98"/>
      <c r="K95" s="97"/>
      <c r="L95" s="97"/>
      <c r="M95" s="97"/>
      <c r="N95" s="97"/>
      <c r="O95" s="97"/>
      <c r="P95" s="97"/>
      <c r="Q95" s="97"/>
      <c r="R95" s="97"/>
      <c r="S95" s="97"/>
      <c r="T95" s="97"/>
      <c r="U95" s="13"/>
      <c r="V95" s="13"/>
    </row>
    <row r="96" spans="5:22" s="8" customFormat="1" ht="33.75" customHeight="1">
      <c r="E96" s="9"/>
      <c r="F96" s="10"/>
      <c r="G96" s="11"/>
      <c r="H96" s="11"/>
      <c r="J96" s="98"/>
      <c r="K96" s="97"/>
      <c r="L96" s="97"/>
      <c r="M96" s="97"/>
      <c r="N96" s="97"/>
      <c r="O96" s="97"/>
      <c r="P96" s="97"/>
      <c r="Q96" s="97"/>
      <c r="R96" s="97"/>
      <c r="S96" s="97"/>
      <c r="T96" s="97"/>
      <c r="U96" s="13"/>
      <c r="V96" s="13"/>
    </row>
    <row r="97" spans="5:22" s="8" customFormat="1" ht="33.75" customHeight="1">
      <c r="E97" s="9"/>
      <c r="F97" s="10"/>
      <c r="G97" s="11"/>
      <c r="H97" s="11"/>
      <c r="J97" s="98"/>
      <c r="K97" s="97"/>
      <c r="L97" s="97"/>
      <c r="M97" s="97"/>
      <c r="N97" s="97"/>
      <c r="O97" s="97"/>
      <c r="P97" s="97"/>
      <c r="Q97" s="97"/>
      <c r="R97" s="97"/>
      <c r="S97" s="97"/>
      <c r="T97" s="97"/>
      <c r="U97" s="13"/>
      <c r="V97" s="13"/>
    </row>
    <row r="98" spans="5:22" s="8" customFormat="1" ht="33.75" customHeight="1">
      <c r="E98" s="9"/>
      <c r="F98" s="10"/>
      <c r="G98" s="11"/>
      <c r="H98" s="11"/>
      <c r="J98" s="12"/>
      <c r="K98" s="13"/>
      <c r="L98" s="13"/>
      <c r="M98" s="13"/>
      <c r="N98" s="13"/>
      <c r="O98" s="13"/>
      <c r="P98" s="13"/>
      <c r="Q98" s="13"/>
      <c r="R98" s="13"/>
      <c r="S98" s="13"/>
      <c r="T98" s="13"/>
      <c r="U98" s="13"/>
      <c r="V98" s="13"/>
    </row>
  </sheetData>
  <sheetProtection/>
  <mergeCells count="37">
    <mergeCell ref="A2:H2"/>
    <mergeCell ref="A3:H3"/>
    <mergeCell ref="A4:B4"/>
    <mergeCell ref="C4:H4"/>
    <mergeCell ref="A5:B5"/>
    <mergeCell ref="C5:H5"/>
    <mergeCell ref="A6:B6"/>
    <mergeCell ref="C6:H6"/>
    <mergeCell ref="A7:H7"/>
    <mergeCell ref="D8:G8"/>
    <mergeCell ref="M9:N9"/>
    <mergeCell ref="B11:H11"/>
    <mergeCell ref="A13:G13"/>
    <mergeCell ref="B14:H14"/>
    <mergeCell ref="A20:G20"/>
    <mergeCell ref="B21:H21"/>
    <mergeCell ref="A29:G29"/>
    <mergeCell ref="B30:H30"/>
    <mergeCell ref="A41:G41"/>
    <mergeCell ref="B42:H42"/>
    <mergeCell ref="A66:G66"/>
    <mergeCell ref="B67:H67"/>
    <mergeCell ref="A80:G80"/>
    <mergeCell ref="B81:H81"/>
    <mergeCell ref="A84:G84"/>
    <mergeCell ref="A85:F85"/>
    <mergeCell ref="A86:B86"/>
    <mergeCell ref="C86:H86"/>
    <mergeCell ref="A87:H87"/>
    <mergeCell ref="A8:A10"/>
    <mergeCell ref="B8:B10"/>
    <mergeCell ref="C8:C10"/>
    <mergeCell ref="D9:D10"/>
    <mergeCell ref="E9:E10"/>
    <mergeCell ref="F9:F10"/>
    <mergeCell ref="G9:G10"/>
    <mergeCell ref="H9:H10"/>
  </mergeCells>
  <printOptions horizontalCentered="1"/>
  <pageMargins left="0" right="0" top="0" bottom="0" header="0" footer="0"/>
  <pageSetup horizontalDpi="600" verticalDpi="600" orientation="portrait" paperSize="9" scale="46"/>
  <rowBreaks count="1" manualBreakCount="1">
    <brk id="80" max="7"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I92"/>
  <sheetViews>
    <sheetView showGridLines="0" view="pageBreakPreview" zoomScale="90" zoomScaleSheetLayoutView="90" workbookViewId="0" topLeftCell="A85">
      <selection activeCell="D10" sqref="D10"/>
    </sheetView>
  </sheetViews>
  <sheetFormatPr defaultColWidth="9.140625" defaultRowHeight="15"/>
  <cols>
    <col min="1" max="1" width="2.7109375" style="576" bestFit="1" customWidth="1"/>
    <col min="2" max="2" width="9.7109375" style="576" bestFit="1" customWidth="1"/>
    <col min="3" max="3" width="18.140625" style="576" bestFit="1" customWidth="1"/>
    <col min="4" max="4" width="90.7109375" style="576" bestFit="1" customWidth="1"/>
    <col min="5" max="5" width="13.140625" style="576" bestFit="1" customWidth="1"/>
    <col min="6" max="6" width="14.8515625" style="576" bestFit="1" customWidth="1"/>
    <col min="7" max="8" width="14.7109375" style="576" bestFit="1" customWidth="1"/>
    <col min="9" max="9" width="2.7109375" style="576" bestFit="1" customWidth="1"/>
    <col min="10" max="16384" width="9.140625" style="576" bestFit="1" customWidth="1"/>
  </cols>
  <sheetData>
    <row r="1" spans="1:9" s="573" customFormat="1" ht="18.75" customHeight="1">
      <c r="A1" s="577" t="s">
        <v>0</v>
      </c>
      <c r="B1" s="577"/>
      <c r="C1" s="577"/>
      <c r="D1" s="577"/>
      <c r="E1" s="577"/>
      <c r="F1" s="577"/>
      <c r="G1" s="577"/>
      <c r="H1" s="577"/>
      <c r="I1" s="577"/>
    </row>
    <row r="2" spans="1:9" s="573" customFormat="1" ht="18.75" customHeight="1">
      <c r="A2" s="577"/>
      <c r="B2" s="577"/>
      <c r="C2" s="577"/>
      <c r="D2" s="577"/>
      <c r="E2" s="577"/>
      <c r="F2" s="577"/>
      <c r="G2" s="577"/>
      <c r="H2" s="577"/>
      <c r="I2" s="577"/>
    </row>
    <row r="3" spans="2:8" s="573" customFormat="1" ht="18.75" customHeight="1">
      <c r="B3" s="578" t="s">
        <v>1</v>
      </c>
      <c r="C3" s="578"/>
      <c r="D3" s="578"/>
      <c r="E3" s="578"/>
      <c r="F3" s="578"/>
      <c r="G3" s="578"/>
      <c r="H3" s="578"/>
    </row>
    <row r="4" spans="2:8" s="573" customFormat="1" ht="9.75" customHeight="1">
      <c r="B4" s="579"/>
      <c r="C4" s="579"/>
      <c r="D4" s="579"/>
      <c r="E4" s="579"/>
      <c r="F4" s="579"/>
      <c r="G4" s="579"/>
      <c r="H4" s="579"/>
    </row>
    <row r="5" spans="2:8" s="573" customFormat="1" ht="18.75" customHeight="1">
      <c r="B5" s="580" t="s">
        <v>2</v>
      </c>
      <c r="C5" s="581" t="s">
        <v>3</v>
      </c>
      <c r="D5" s="581" t="s">
        <v>4</v>
      </c>
      <c r="E5" s="581" t="s">
        <v>5</v>
      </c>
      <c r="F5" s="582" t="s">
        <v>6</v>
      </c>
      <c r="G5" s="581" t="s">
        <v>7</v>
      </c>
      <c r="H5" s="583" t="s">
        <v>8</v>
      </c>
    </row>
    <row r="6" spans="2:8" s="573" customFormat="1" ht="18.75" customHeight="1">
      <c r="B6" s="580"/>
      <c r="C6" s="581"/>
      <c r="D6" s="581"/>
      <c r="E6" s="581"/>
      <c r="F6" s="582"/>
      <c r="G6" s="581"/>
      <c r="H6" s="583"/>
    </row>
    <row r="7" spans="2:8" s="574" customFormat="1" ht="18.75" customHeight="1">
      <c r="B7" s="584" t="s">
        <v>9</v>
      </c>
      <c r="C7" s="584"/>
      <c r="D7" s="584"/>
      <c r="E7" s="584"/>
      <c r="F7" s="584"/>
      <c r="G7" s="584"/>
      <c r="H7" s="584"/>
    </row>
    <row r="8" spans="2:8" s="574" customFormat="1" ht="18.75" customHeight="1">
      <c r="B8" s="585" t="s">
        <v>10</v>
      </c>
      <c r="C8" s="586" t="s">
        <v>11</v>
      </c>
      <c r="D8" s="587" t="s">
        <v>12</v>
      </c>
      <c r="E8" s="588" t="s">
        <v>13</v>
      </c>
      <c r="F8" s="589">
        <f>'rateio lote 2 adm local e bdi'!E8</f>
        <v>180</v>
      </c>
      <c r="G8" s="590" t="e">
        <f>'rateio lote 2 adm local e bdi'!K8</f>
        <v>#REF!</v>
      </c>
      <c r="H8" s="591" t="e">
        <f aca="true" t="shared" si="0" ref="H8:H23">F8*G8</f>
        <v>#REF!</v>
      </c>
    </row>
    <row r="9" spans="2:8" s="574" customFormat="1" ht="18.75" customHeight="1">
      <c r="B9" s="585" t="s">
        <v>14</v>
      </c>
      <c r="C9" s="586" t="s">
        <v>15</v>
      </c>
      <c r="D9" s="587" t="s">
        <v>16</v>
      </c>
      <c r="E9" s="588" t="s">
        <v>13</v>
      </c>
      <c r="F9" s="589">
        <f>'rateio lote 2 adm local e bdi'!E9</f>
        <v>180</v>
      </c>
      <c r="G9" s="590" t="e">
        <f>'rateio lote 2 adm local e bdi'!K9</f>
        <v>#REF!</v>
      </c>
      <c r="H9" s="591" t="e">
        <f t="shared" si="0"/>
        <v>#REF!</v>
      </c>
    </row>
    <row r="10" spans="2:8" s="574" customFormat="1" ht="18.75" customHeight="1">
      <c r="B10" s="585" t="s">
        <v>17</v>
      </c>
      <c r="C10" s="586" t="s">
        <v>18</v>
      </c>
      <c r="D10" s="587" t="s">
        <v>19</v>
      </c>
      <c r="E10" s="588" t="s">
        <v>20</v>
      </c>
      <c r="F10" s="589">
        <f>'rateio lote 2 adm local e bdi'!E10</f>
        <v>70</v>
      </c>
      <c r="G10" s="590" t="e">
        <f>'rateio lote 2 adm local e bdi'!K10</f>
        <v>#REF!</v>
      </c>
      <c r="H10" s="591" t="e">
        <f t="shared" si="0"/>
        <v>#REF!</v>
      </c>
    </row>
    <row r="11" spans="2:8" s="574" customFormat="1" ht="18.75" customHeight="1">
      <c r="B11" s="585" t="s">
        <v>21</v>
      </c>
      <c r="C11" s="586" t="s">
        <v>22</v>
      </c>
      <c r="D11" s="587" t="s">
        <v>23</v>
      </c>
      <c r="E11" s="588" t="s">
        <v>20</v>
      </c>
      <c r="F11" s="589">
        <f>'rateio lote 2 adm local e bdi'!E11</f>
        <v>20</v>
      </c>
      <c r="G11" s="590" t="e">
        <f>'rateio lote 2 adm local e bdi'!K11</f>
        <v>#REF!</v>
      </c>
      <c r="H11" s="591" t="e">
        <f t="shared" si="0"/>
        <v>#REF!</v>
      </c>
    </row>
    <row r="12" spans="2:8" s="574" customFormat="1" ht="18.75" customHeight="1">
      <c r="B12" s="585" t="s">
        <v>24</v>
      </c>
      <c r="C12" s="586" t="s">
        <v>25</v>
      </c>
      <c r="D12" s="587" t="s">
        <v>26</v>
      </c>
      <c r="E12" s="588" t="s">
        <v>13</v>
      </c>
      <c r="F12" s="589">
        <f>'rateio lote 2 adm local e bdi'!E12</f>
        <v>300</v>
      </c>
      <c r="G12" s="590" t="e">
        <f>'rateio lote 2 adm local e bdi'!K12</f>
        <v>#REF!</v>
      </c>
      <c r="H12" s="591" t="e">
        <f t="shared" si="0"/>
        <v>#REF!</v>
      </c>
    </row>
    <row r="13" spans="2:8" s="574" customFormat="1" ht="18.75" customHeight="1">
      <c r="B13" s="585" t="s">
        <v>27</v>
      </c>
      <c r="C13" s="586" t="s">
        <v>28</v>
      </c>
      <c r="D13" s="587" t="s">
        <v>29</v>
      </c>
      <c r="E13" s="588" t="s">
        <v>13</v>
      </c>
      <c r="F13" s="589">
        <f>'rateio lote 2 adm local e bdi'!E13</f>
        <v>150</v>
      </c>
      <c r="G13" s="590" t="e">
        <f>'rateio lote 2 adm local e bdi'!K13</f>
        <v>#REF!</v>
      </c>
      <c r="H13" s="591" t="e">
        <f t="shared" si="0"/>
        <v>#REF!</v>
      </c>
    </row>
    <row r="14" spans="2:8" s="574" customFormat="1" ht="18.75" customHeight="1">
      <c r="B14" s="585" t="s">
        <v>30</v>
      </c>
      <c r="C14" s="586" t="s">
        <v>31</v>
      </c>
      <c r="D14" s="587" t="s">
        <v>32</v>
      </c>
      <c r="E14" s="588" t="s">
        <v>13</v>
      </c>
      <c r="F14" s="589">
        <f>'rateio lote 2 adm local e bdi'!E14</f>
        <v>120</v>
      </c>
      <c r="G14" s="590" t="e">
        <f>'rateio lote 2 adm local e bdi'!K14</f>
        <v>#REF!</v>
      </c>
      <c r="H14" s="591" t="e">
        <f t="shared" si="0"/>
        <v>#REF!</v>
      </c>
    </row>
    <row r="15" spans="2:8" s="574" customFormat="1" ht="18.75" customHeight="1">
      <c r="B15" s="585" t="s">
        <v>33</v>
      </c>
      <c r="C15" s="586" t="s">
        <v>34</v>
      </c>
      <c r="D15" s="587" t="s">
        <v>35</v>
      </c>
      <c r="E15" s="588" t="s">
        <v>36</v>
      </c>
      <c r="F15" s="589">
        <f>'rateio lote 2 adm local e bdi'!E15</f>
        <v>240</v>
      </c>
      <c r="G15" s="590" t="e">
        <f>'rateio lote 2 adm local e bdi'!K15</f>
        <v>#REF!</v>
      </c>
      <c r="H15" s="591" t="e">
        <f t="shared" si="0"/>
        <v>#REF!</v>
      </c>
    </row>
    <row r="16" spans="2:8" s="574" customFormat="1" ht="18.75" customHeight="1">
      <c r="B16" s="585" t="s">
        <v>37</v>
      </c>
      <c r="C16" s="586" t="s">
        <v>38</v>
      </c>
      <c r="D16" s="587" t="s">
        <v>39</v>
      </c>
      <c r="E16" s="588" t="s">
        <v>36</v>
      </c>
      <c r="F16" s="589">
        <f>'rateio lote 2 adm local e bdi'!E16</f>
        <v>240</v>
      </c>
      <c r="G16" s="590" t="e">
        <f>'rateio lote 2 adm local e bdi'!K16</f>
        <v>#REF!</v>
      </c>
      <c r="H16" s="591" t="e">
        <f t="shared" si="0"/>
        <v>#REF!</v>
      </c>
    </row>
    <row r="17" spans="2:8" s="574" customFormat="1" ht="22.5">
      <c r="B17" s="585" t="s">
        <v>40</v>
      </c>
      <c r="C17" s="586" t="s">
        <v>41</v>
      </c>
      <c r="D17" s="587" t="s">
        <v>42</v>
      </c>
      <c r="E17" s="592" t="s">
        <v>43</v>
      </c>
      <c r="F17" s="589">
        <f>'rateio lote 2 adm local e bdi'!E17</f>
        <v>3</v>
      </c>
      <c r="G17" s="590" t="e">
        <f>'rateio lote 2 adm local e bdi'!K17</f>
        <v>#REF!</v>
      </c>
      <c r="H17" s="591" t="e">
        <f t="shared" si="0"/>
        <v>#REF!</v>
      </c>
    </row>
    <row r="18" spans="2:8" s="574" customFormat="1" ht="45">
      <c r="B18" s="585" t="s">
        <v>44</v>
      </c>
      <c r="C18" s="586" t="s">
        <v>45</v>
      </c>
      <c r="D18" s="593" t="s">
        <v>46</v>
      </c>
      <c r="E18" s="592" t="s">
        <v>20</v>
      </c>
      <c r="F18" s="589">
        <f>'rateio lote 2 adm local e bdi'!E18</f>
        <v>180</v>
      </c>
      <c r="G18" s="590" t="e">
        <f>'rateio lote 2 adm local e bdi'!K18</f>
        <v>#REF!</v>
      </c>
      <c r="H18" s="591" t="e">
        <f t="shared" si="0"/>
        <v>#REF!</v>
      </c>
    </row>
    <row r="19" spans="2:8" s="574" customFormat="1" ht="18.75" customHeight="1">
      <c r="B19" s="585" t="s">
        <v>47</v>
      </c>
      <c r="C19" s="586" t="s">
        <v>48</v>
      </c>
      <c r="D19" s="593" t="s">
        <v>49</v>
      </c>
      <c r="E19" s="592" t="s">
        <v>36</v>
      </c>
      <c r="F19" s="589">
        <f>'rateio lote 2 adm local e bdi'!E19</f>
        <v>180</v>
      </c>
      <c r="G19" s="590" t="e">
        <f>'rateio lote 2 adm local e bdi'!K19</f>
        <v>#REF!</v>
      </c>
      <c r="H19" s="591" t="e">
        <f t="shared" si="0"/>
        <v>#REF!</v>
      </c>
    </row>
    <row r="20" spans="2:8" s="574" customFormat="1" ht="18.75" customHeight="1">
      <c r="B20" s="585" t="s">
        <v>50</v>
      </c>
      <c r="C20" s="586" t="s">
        <v>51</v>
      </c>
      <c r="D20" s="593" t="s">
        <v>49</v>
      </c>
      <c r="E20" s="592" t="s">
        <v>36</v>
      </c>
      <c r="F20" s="589">
        <f>'rateio lote 2 adm local e bdi'!E20</f>
        <v>180</v>
      </c>
      <c r="G20" s="590" t="e">
        <f>'rateio lote 2 adm local e bdi'!K20</f>
        <v>#REF!</v>
      </c>
      <c r="H20" s="591" t="e">
        <f t="shared" si="0"/>
        <v>#REF!</v>
      </c>
    </row>
    <row r="21" spans="2:8" s="574" customFormat="1" ht="18.75" customHeight="1">
      <c r="B21" s="585" t="s">
        <v>52</v>
      </c>
      <c r="C21" s="586" t="s">
        <v>53</v>
      </c>
      <c r="D21" s="593" t="s">
        <v>54</v>
      </c>
      <c r="E21" s="592" t="s">
        <v>36</v>
      </c>
      <c r="F21" s="589">
        <f>'rateio lote 2 adm local e bdi'!E21</f>
        <v>100</v>
      </c>
      <c r="G21" s="590" t="e">
        <f>'rateio lote 2 adm local e bdi'!K21</f>
        <v>#REF!</v>
      </c>
      <c r="H21" s="591" t="e">
        <f t="shared" si="0"/>
        <v>#REF!</v>
      </c>
    </row>
    <row r="22" spans="2:8" s="574" customFormat="1" ht="18.75" customHeight="1">
      <c r="B22" s="585" t="s">
        <v>55</v>
      </c>
      <c r="C22" s="586" t="s">
        <v>56</v>
      </c>
      <c r="D22" s="593" t="s">
        <v>57</v>
      </c>
      <c r="E22" s="592" t="s">
        <v>36</v>
      </c>
      <c r="F22" s="589">
        <f>'rateio lote 2 adm local e bdi'!E22</f>
        <v>50</v>
      </c>
      <c r="G22" s="590" t="e">
        <f>'rateio lote 2 adm local e bdi'!K22</f>
        <v>#REF!</v>
      </c>
      <c r="H22" s="591" t="e">
        <f t="shared" si="0"/>
        <v>#REF!</v>
      </c>
    </row>
    <row r="23" spans="2:8" s="574" customFormat="1" ht="18.75" customHeight="1">
      <c r="B23" s="585" t="s">
        <v>58</v>
      </c>
      <c r="C23" s="586" t="s">
        <v>59</v>
      </c>
      <c r="D23" s="593" t="s">
        <v>60</v>
      </c>
      <c r="E23" s="592" t="s">
        <v>36</v>
      </c>
      <c r="F23" s="589">
        <f>'rateio lote 2 adm local e bdi'!E23</f>
        <v>30</v>
      </c>
      <c r="G23" s="590" t="e">
        <f>'rateio lote 2 adm local e bdi'!K23</f>
        <v>#REF!</v>
      </c>
      <c r="H23" s="591" t="e">
        <f t="shared" si="0"/>
        <v>#REF!</v>
      </c>
    </row>
    <row r="24" spans="2:8" s="574" customFormat="1" ht="18.75" customHeight="1">
      <c r="B24" s="594" t="s">
        <v>61</v>
      </c>
      <c r="C24" s="594"/>
      <c r="D24" s="594"/>
      <c r="E24" s="594"/>
      <c r="F24" s="594"/>
      <c r="G24" s="594"/>
      <c r="H24" s="595" t="e">
        <f>SUM(H8:H23)</f>
        <v>#REF!</v>
      </c>
    </row>
    <row r="25" spans="2:8" s="574" customFormat="1" ht="18.75" customHeight="1">
      <c r="B25" s="584" t="s">
        <v>62</v>
      </c>
      <c r="C25" s="584"/>
      <c r="D25" s="584"/>
      <c r="E25" s="584"/>
      <c r="F25" s="584"/>
      <c r="G25" s="584"/>
      <c r="H25" s="584"/>
    </row>
    <row r="26" spans="2:8" s="574" customFormat="1" ht="33.75">
      <c r="B26" s="585" t="s">
        <v>63</v>
      </c>
      <c r="C26" s="586" t="s">
        <v>64</v>
      </c>
      <c r="D26" s="587" t="s">
        <v>65</v>
      </c>
      <c r="E26" s="588" t="s">
        <v>36</v>
      </c>
      <c r="F26" s="589">
        <f>'rateio lote 2 adm local e bdi'!E26</f>
        <v>60</v>
      </c>
      <c r="G26" s="590" t="e">
        <f>'rateio lote 2 adm local e bdi'!K26</f>
        <v>#REF!</v>
      </c>
      <c r="H26" s="591" t="e">
        <f aca="true" t="shared" si="1" ref="H26:H29">F26*G26</f>
        <v>#REF!</v>
      </c>
    </row>
    <row r="27" spans="2:8" s="574" customFormat="1" ht="18.75" customHeight="1">
      <c r="B27" s="585" t="s">
        <v>66</v>
      </c>
      <c r="C27" s="586" t="s">
        <v>67</v>
      </c>
      <c r="D27" s="587" t="s">
        <v>68</v>
      </c>
      <c r="E27" s="592" t="s">
        <v>43</v>
      </c>
      <c r="F27" s="589">
        <f>'rateio lote 2 adm local e bdi'!E27</f>
        <v>18</v>
      </c>
      <c r="G27" s="590" t="e">
        <f>'rateio lote 2 adm local e bdi'!K27</f>
        <v>#REF!</v>
      </c>
      <c r="H27" s="591" t="e">
        <f t="shared" si="1"/>
        <v>#REF!</v>
      </c>
    </row>
    <row r="28" spans="2:8" s="574" customFormat="1" ht="18.75" customHeight="1">
      <c r="B28" s="585" t="s">
        <v>69</v>
      </c>
      <c r="C28" s="586" t="s">
        <v>70</v>
      </c>
      <c r="D28" s="587" t="s">
        <v>71</v>
      </c>
      <c r="E28" s="592" t="s">
        <v>43</v>
      </c>
      <c r="F28" s="589">
        <f>'rateio lote 2 adm local e bdi'!E28</f>
        <v>9</v>
      </c>
      <c r="G28" s="590" t="e">
        <f>'rateio lote 2 adm local e bdi'!K28</f>
        <v>#REF!</v>
      </c>
      <c r="H28" s="591" t="e">
        <f t="shared" si="1"/>
        <v>#REF!</v>
      </c>
    </row>
    <row r="29" spans="2:8" s="574" customFormat="1" ht="18.75" customHeight="1">
      <c r="B29" s="585" t="s">
        <v>72</v>
      </c>
      <c r="C29" s="586" t="s">
        <v>73</v>
      </c>
      <c r="D29" s="587" t="s">
        <v>74</v>
      </c>
      <c r="E29" s="588" t="s">
        <v>13</v>
      </c>
      <c r="F29" s="589">
        <f>'rateio lote 2 adm local e bdi'!E29</f>
        <v>24</v>
      </c>
      <c r="G29" s="590" t="e">
        <f>'rateio lote 2 adm local e bdi'!K29</f>
        <v>#REF!</v>
      </c>
      <c r="H29" s="591" t="e">
        <f t="shared" si="1"/>
        <v>#REF!</v>
      </c>
    </row>
    <row r="30" spans="2:8" s="574" customFormat="1" ht="18.75" customHeight="1">
      <c r="B30" s="594" t="s">
        <v>75</v>
      </c>
      <c r="C30" s="594"/>
      <c r="D30" s="594"/>
      <c r="E30" s="594"/>
      <c r="F30" s="594"/>
      <c r="G30" s="594"/>
      <c r="H30" s="595" t="e">
        <f>SUM(H26:H29)</f>
        <v>#REF!</v>
      </c>
    </row>
    <row r="31" spans="2:8" s="574" customFormat="1" ht="18.75" customHeight="1">
      <c r="B31" s="584" t="s">
        <v>76</v>
      </c>
      <c r="C31" s="584"/>
      <c r="D31" s="584"/>
      <c r="E31" s="584"/>
      <c r="F31" s="584"/>
      <c r="G31" s="584"/>
      <c r="H31" s="584"/>
    </row>
    <row r="32" spans="2:8" s="574" customFormat="1" ht="18.75" customHeight="1">
      <c r="B32" s="585" t="s">
        <v>77</v>
      </c>
      <c r="C32" s="586" t="s">
        <v>78</v>
      </c>
      <c r="D32" s="587" t="s">
        <v>79</v>
      </c>
      <c r="E32" s="588" t="s">
        <v>20</v>
      </c>
      <c r="F32" s="589">
        <f>'rateio lote 2 adm local e bdi'!E32</f>
        <v>90</v>
      </c>
      <c r="G32" s="590" t="e">
        <f>'rateio lote 2 adm local e bdi'!K32</f>
        <v>#REF!</v>
      </c>
      <c r="H32" s="591" t="e">
        <f aca="true" t="shared" si="2" ref="H32:H40">F32*G32</f>
        <v>#REF!</v>
      </c>
    </row>
    <row r="33" spans="2:8" s="574" customFormat="1" ht="18.75" customHeight="1">
      <c r="B33" s="585" t="s">
        <v>80</v>
      </c>
      <c r="C33" s="586" t="s">
        <v>81</v>
      </c>
      <c r="D33" s="587" t="s">
        <v>82</v>
      </c>
      <c r="E33" s="588" t="s">
        <v>20</v>
      </c>
      <c r="F33" s="589">
        <f>'rateio lote 2 adm local e bdi'!E33</f>
        <v>280</v>
      </c>
      <c r="G33" s="590" t="e">
        <f>'rateio lote 2 adm local e bdi'!K33</f>
        <v>#REF!</v>
      </c>
      <c r="H33" s="591" t="e">
        <f t="shared" si="2"/>
        <v>#REF!</v>
      </c>
    </row>
    <row r="34" spans="2:8" s="574" customFormat="1" ht="18.75" customHeight="1">
      <c r="B34" s="585" t="s">
        <v>83</v>
      </c>
      <c r="C34" s="586" t="s">
        <v>84</v>
      </c>
      <c r="D34" s="587" t="s">
        <v>85</v>
      </c>
      <c r="E34" s="588" t="s">
        <v>20</v>
      </c>
      <c r="F34" s="589">
        <f>'rateio lote 2 adm local e bdi'!E34</f>
        <v>480</v>
      </c>
      <c r="G34" s="590" t="e">
        <f>'rateio lote 2 adm local e bdi'!K34</f>
        <v>#REF!</v>
      </c>
      <c r="H34" s="591" t="e">
        <f t="shared" si="2"/>
        <v>#REF!</v>
      </c>
    </row>
    <row r="35" spans="2:8" s="574" customFormat="1" ht="22.5">
      <c r="B35" s="585" t="s">
        <v>86</v>
      </c>
      <c r="C35" s="586" t="s">
        <v>87</v>
      </c>
      <c r="D35" s="587" t="s">
        <v>88</v>
      </c>
      <c r="E35" s="588" t="s">
        <v>20</v>
      </c>
      <c r="F35" s="589">
        <f>'rateio lote 2 adm local e bdi'!E35</f>
        <v>480</v>
      </c>
      <c r="G35" s="590" t="e">
        <f>'rateio lote 2 adm local e bdi'!K35</f>
        <v>#REF!</v>
      </c>
      <c r="H35" s="591" t="e">
        <f t="shared" si="2"/>
        <v>#REF!</v>
      </c>
    </row>
    <row r="36" spans="2:8" s="574" customFormat="1" ht="22.5">
      <c r="B36" s="585" t="s">
        <v>89</v>
      </c>
      <c r="C36" s="586" t="s">
        <v>90</v>
      </c>
      <c r="D36" s="587" t="s">
        <v>91</v>
      </c>
      <c r="E36" s="588" t="s">
        <v>20</v>
      </c>
      <c r="F36" s="589">
        <f>'rateio lote 2 adm local e bdi'!E36</f>
        <v>300</v>
      </c>
      <c r="G36" s="590" t="e">
        <f>'rateio lote 2 adm local e bdi'!K36</f>
        <v>#REF!</v>
      </c>
      <c r="H36" s="591" t="e">
        <f t="shared" si="2"/>
        <v>#REF!</v>
      </c>
    </row>
    <row r="37" spans="2:8" s="574" customFormat="1" ht="22.5">
      <c r="B37" s="585" t="s">
        <v>92</v>
      </c>
      <c r="C37" s="586" t="s">
        <v>93</v>
      </c>
      <c r="D37" s="593" t="s">
        <v>94</v>
      </c>
      <c r="E37" s="592" t="s">
        <v>20</v>
      </c>
      <c r="F37" s="589">
        <f>'rateio lote 2 adm local e bdi'!E37</f>
        <v>950</v>
      </c>
      <c r="G37" s="590" t="e">
        <f>'rateio lote 2 adm local e bdi'!K37</f>
        <v>#REF!</v>
      </c>
      <c r="H37" s="591" t="e">
        <f t="shared" si="2"/>
        <v>#REF!</v>
      </c>
    </row>
    <row r="38" spans="2:8" s="574" customFormat="1" ht="18.75" customHeight="1">
      <c r="B38" s="585" t="s">
        <v>95</v>
      </c>
      <c r="C38" s="586" t="s">
        <v>96</v>
      </c>
      <c r="D38" s="593" t="s">
        <v>97</v>
      </c>
      <c r="E38" s="592" t="s">
        <v>20</v>
      </c>
      <c r="F38" s="589">
        <f>'rateio lote 2 adm local e bdi'!E38</f>
        <v>30</v>
      </c>
      <c r="G38" s="590" t="e">
        <f>'rateio lote 2 adm local e bdi'!K38</f>
        <v>#REF!</v>
      </c>
      <c r="H38" s="591" t="e">
        <f t="shared" si="2"/>
        <v>#REF!</v>
      </c>
    </row>
    <row r="39" spans="2:8" s="574" customFormat="1" ht="18.75" customHeight="1">
      <c r="B39" s="585" t="s">
        <v>98</v>
      </c>
      <c r="C39" s="586" t="s">
        <v>99</v>
      </c>
      <c r="D39" s="593" t="s">
        <v>100</v>
      </c>
      <c r="E39" s="592" t="s">
        <v>20</v>
      </c>
      <c r="F39" s="589">
        <f>'rateio lote 2 adm local e bdi'!E39</f>
        <v>60</v>
      </c>
      <c r="G39" s="590" t="e">
        <f>'rateio lote 2 adm local e bdi'!K39</f>
        <v>#REF!</v>
      </c>
      <c r="H39" s="591" t="e">
        <f t="shared" si="2"/>
        <v>#REF!</v>
      </c>
    </row>
    <row r="40" spans="2:8" s="574" customFormat="1" ht="33.75">
      <c r="B40" s="585" t="s">
        <v>101</v>
      </c>
      <c r="C40" s="586" t="s">
        <v>102</v>
      </c>
      <c r="D40" s="593" t="s">
        <v>103</v>
      </c>
      <c r="E40" s="592" t="s">
        <v>20</v>
      </c>
      <c r="F40" s="589">
        <f>'rateio lote 2 adm local e bdi'!E40</f>
        <v>90</v>
      </c>
      <c r="G40" s="590" t="e">
        <f>'rateio lote 2 adm local e bdi'!K40</f>
        <v>#REF!</v>
      </c>
      <c r="H40" s="591" t="e">
        <f t="shared" si="2"/>
        <v>#REF!</v>
      </c>
    </row>
    <row r="41" spans="2:8" s="574" customFormat="1" ht="18.75" customHeight="1">
      <c r="B41" s="594" t="s">
        <v>104</v>
      </c>
      <c r="C41" s="594"/>
      <c r="D41" s="594"/>
      <c r="E41" s="594"/>
      <c r="F41" s="594"/>
      <c r="G41" s="594"/>
      <c r="H41" s="595" t="e">
        <f>SUM(H32:H40)</f>
        <v>#REF!</v>
      </c>
    </row>
    <row r="42" spans="2:8" s="574" customFormat="1" ht="18.75" customHeight="1">
      <c r="B42" s="584" t="s">
        <v>105</v>
      </c>
      <c r="C42" s="584"/>
      <c r="D42" s="584"/>
      <c r="E42" s="584"/>
      <c r="F42" s="584"/>
      <c r="G42" s="584"/>
      <c r="H42" s="584"/>
    </row>
    <row r="43" spans="2:8" s="574" customFormat="1" ht="18.75" customHeight="1">
      <c r="B43" s="585" t="s">
        <v>106</v>
      </c>
      <c r="C43" s="586" t="s">
        <v>107</v>
      </c>
      <c r="D43" s="587" t="s">
        <v>108</v>
      </c>
      <c r="E43" s="588" t="s">
        <v>20</v>
      </c>
      <c r="F43" s="589">
        <f>'rateio lote 2 adm local e bdi'!E43</f>
        <v>90</v>
      </c>
      <c r="G43" s="590" t="e">
        <f>'rateio lote 2 adm local e bdi'!K43</f>
        <v>#REF!</v>
      </c>
      <c r="H43" s="591" t="e">
        <f aca="true" t="shared" si="3" ref="H43:H48">F43*G43</f>
        <v>#REF!</v>
      </c>
    </row>
    <row r="44" spans="2:8" s="574" customFormat="1" ht="22.5">
      <c r="B44" s="585" t="s">
        <v>109</v>
      </c>
      <c r="C44" s="586" t="s">
        <v>110</v>
      </c>
      <c r="D44" s="587" t="s">
        <v>111</v>
      </c>
      <c r="E44" s="588" t="s">
        <v>20</v>
      </c>
      <c r="F44" s="589">
        <f>'rateio lote 2 adm local e bdi'!E44</f>
        <v>90</v>
      </c>
      <c r="G44" s="590" t="e">
        <f>'rateio lote 2 adm local e bdi'!K44</f>
        <v>#REF!</v>
      </c>
      <c r="H44" s="591" t="e">
        <f t="shared" si="3"/>
        <v>#REF!</v>
      </c>
    </row>
    <row r="45" spans="2:8" s="574" customFormat="1" ht="22.5">
      <c r="B45" s="585" t="s">
        <v>112</v>
      </c>
      <c r="C45" s="586" t="s">
        <v>113</v>
      </c>
      <c r="D45" s="587" t="s">
        <v>114</v>
      </c>
      <c r="E45" s="588" t="s">
        <v>13</v>
      </c>
      <c r="F45" s="589">
        <f>'rateio lote 2 adm local e bdi'!E45</f>
        <v>90</v>
      </c>
      <c r="G45" s="590" t="e">
        <f>'rateio lote 2 adm local e bdi'!K45</f>
        <v>#REF!</v>
      </c>
      <c r="H45" s="591" t="e">
        <f t="shared" si="3"/>
        <v>#REF!</v>
      </c>
    </row>
    <row r="46" spans="2:8" s="574" customFormat="1" ht="22.5">
      <c r="B46" s="585" t="s">
        <v>115</v>
      </c>
      <c r="C46" s="586" t="s">
        <v>116</v>
      </c>
      <c r="D46" s="587" t="s">
        <v>117</v>
      </c>
      <c r="E46" s="588" t="s">
        <v>13</v>
      </c>
      <c r="F46" s="589">
        <f>'rateio lote 2 adm local e bdi'!E46</f>
        <v>90</v>
      </c>
      <c r="G46" s="590" t="e">
        <f>'rateio lote 2 adm local e bdi'!K46</f>
        <v>#REF!</v>
      </c>
      <c r="H46" s="591" t="e">
        <f t="shared" si="3"/>
        <v>#REF!</v>
      </c>
    </row>
    <row r="47" spans="2:8" s="574" customFormat="1" ht="18.75" customHeight="1">
      <c r="B47" s="585" t="s">
        <v>118</v>
      </c>
      <c r="C47" s="586" t="s">
        <v>119</v>
      </c>
      <c r="D47" s="587" t="s">
        <v>120</v>
      </c>
      <c r="E47" s="588" t="s">
        <v>13</v>
      </c>
      <c r="F47" s="589">
        <f>'rateio lote 2 adm local e bdi'!E47</f>
        <v>180</v>
      </c>
      <c r="G47" s="590" t="e">
        <f>'rateio lote 2 adm local e bdi'!K47</f>
        <v>#REF!</v>
      </c>
      <c r="H47" s="591" t="e">
        <f t="shared" si="3"/>
        <v>#REF!</v>
      </c>
    </row>
    <row r="48" spans="2:8" s="574" customFormat="1" ht="18.75" customHeight="1">
      <c r="B48" s="585" t="s">
        <v>121</v>
      </c>
      <c r="C48" s="586" t="s">
        <v>122</v>
      </c>
      <c r="D48" s="587" t="s">
        <v>123</v>
      </c>
      <c r="E48" s="588" t="s">
        <v>13</v>
      </c>
      <c r="F48" s="589">
        <f>'rateio lote 2 adm local e bdi'!E48</f>
        <v>180</v>
      </c>
      <c r="G48" s="590" t="e">
        <f>'rateio lote 2 adm local e bdi'!K48</f>
        <v>#REF!</v>
      </c>
      <c r="H48" s="591" t="e">
        <f t="shared" si="3"/>
        <v>#REF!</v>
      </c>
    </row>
    <row r="49" spans="2:8" s="574" customFormat="1" ht="18.75" customHeight="1">
      <c r="B49" s="594" t="s">
        <v>124</v>
      </c>
      <c r="C49" s="594"/>
      <c r="D49" s="594"/>
      <c r="E49" s="594"/>
      <c r="F49" s="594"/>
      <c r="G49" s="594"/>
      <c r="H49" s="595" t="e">
        <f>SUM(H43:H48)</f>
        <v>#REF!</v>
      </c>
    </row>
    <row r="50" spans="2:8" s="574" customFormat="1" ht="18.75" customHeight="1">
      <c r="B50" s="584" t="s">
        <v>125</v>
      </c>
      <c r="C50" s="584"/>
      <c r="D50" s="584"/>
      <c r="E50" s="584"/>
      <c r="F50" s="584"/>
      <c r="G50" s="584"/>
      <c r="H50" s="584"/>
    </row>
    <row r="51" spans="2:8" s="574" customFormat="1" ht="22.5">
      <c r="B51" s="585" t="s">
        <v>126</v>
      </c>
      <c r="C51" s="586" t="s">
        <v>127</v>
      </c>
      <c r="D51" s="587" t="s">
        <v>128</v>
      </c>
      <c r="E51" s="588" t="s">
        <v>13</v>
      </c>
      <c r="F51" s="589">
        <f>'rateio lote 2 adm local e bdi'!E51</f>
        <v>320</v>
      </c>
      <c r="G51" s="590" t="e">
        <f>'rateio lote 2 adm local e bdi'!K51</f>
        <v>#REF!</v>
      </c>
      <c r="H51" s="591" t="e">
        <f aca="true" t="shared" si="4" ref="H51:H59">F51*G51</f>
        <v>#REF!</v>
      </c>
    </row>
    <row r="52" spans="2:8" s="574" customFormat="1" ht="33.75">
      <c r="B52" s="585" t="s">
        <v>129</v>
      </c>
      <c r="C52" s="586" t="s">
        <v>130</v>
      </c>
      <c r="D52" s="587" t="s">
        <v>131</v>
      </c>
      <c r="E52" s="588" t="s">
        <v>13</v>
      </c>
      <c r="F52" s="589">
        <f>'rateio lote 2 adm local e bdi'!E52</f>
        <v>120</v>
      </c>
      <c r="G52" s="590" t="e">
        <f>'rateio lote 2 adm local e bdi'!K52</f>
        <v>#REF!</v>
      </c>
      <c r="H52" s="591" t="e">
        <f t="shared" si="4"/>
        <v>#REF!</v>
      </c>
    </row>
    <row r="53" spans="2:8" s="574" customFormat="1" ht="22.5">
      <c r="B53" s="585" t="s">
        <v>132</v>
      </c>
      <c r="C53" s="586" t="s">
        <v>133</v>
      </c>
      <c r="D53" s="587" t="s">
        <v>134</v>
      </c>
      <c r="E53" s="588" t="s">
        <v>36</v>
      </c>
      <c r="F53" s="589">
        <f>'rateio lote 2 adm local e bdi'!E53</f>
        <v>320</v>
      </c>
      <c r="G53" s="590" t="e">
        <f>'rateio lote 2 adm local e bdi'!K53</f>
        <v>#REF!</v>
      </c>
      <c r="H53" s="591" t="e">
        <f t="shared" si="4"/>
        <v>#REF!</v>
      </c>
    </row>
    <row r="54" spans="2:8" s="574" customFormat="1" ht="33.75">
      <c r="B54" s="585" t="s">
        <v>135</v>
      </c>
      <c r="C54" s="586" t="s">
        <v>136</v>
      </c>
      <c r="D54" s="587" t="s">
        <v>137</v>
      </c>
      <c r="E54" s="588" t="s">
        <v>36</v>
      </c>
      <c r="F54" s="589">
        <f>'rateio lote 2 adm local e bdi'!E54</f>
        <v>320</v>
      </c>
      <c r="G54" s="590" t="e">
        <f>'rateio lote 2 adm local e bdi'!K54</f>
        <v>#REF!</v>
      </c>
      <c r="H54" s="591" t="e">
        <f t="shared" si="4"/>
        <v>#REF!</v>
      </c>
    </row>
    <row r="55" spans="2:8" s="574" customFormat="1" ht="22.5">
      <c r="B55" s="585" t="s">
        <v>138</v>
      </c>
      <c r="C55" s="586" t="s">
        <v>139</v>
      </c>
      <c r="D55" s="593" t="s">
        <v>140</v>
      </c>
      <c r="E55" s="592" t="s">
        <v>20</v>
      </c>
      <c r="F55" s="589">
        <f>'rateio lote 2 adm local e bdi'!E55</f>
        <v>70</v>
      </c>
      <c r="G55" s="590" t="e">
        <f>'rateio lote 2 adm local e bdi'!K55</f>
        <v>#REF!</v>
      </c>
      <c r="H55" s="591" t="e">
        <f t="shared" si="4"/>
        <v>#REF!</v>
      </c>
    </row>
    <row r="56" spans="2:8" s="574" customFormat="1" ht="22.5">
      <c r="B56" s="585" t="s">
        <v>141</v>
      </c>
      <c r="C56" s="586" t="s">
        <v>142</v>
      </c>
      <c r="D56" s="593" t="s">
        <v>143</v>
      </c>
      <c r="E56" s="592" t="s">
        <v>20</v>
      </c>
      <c r="F56" s="589">
        <f>'rateio lote 2 adm local e bdi'!E56</f>
        <v>70</v>
      </c>
      <c r="G56" s="590" t="e">
        <f>'rateio lote 2 adm local e bdi'!K56</f>
        <v>#REF!</v>
      </c>
      <c r="H56" s="591" t="e">
        <f t="shared" si="4"/>
        <v>#REF!</v>
      </c>
    </row>
    <row r="57" spans="2:8" s="574" customFormat="1" ht="18.75" customHeight="1">
      <c r="B57" s="585" t="s">
        <v>144</v>
      </c>
      <c r="C57" s="586" t="s">
        <v>145</v>
      </c>
      <c r="D57" s="593" t="s">
        <v>146</v>
      </c>
      <c r="E57" s="592" t="s">
        <v>20</v>
      </c>
      <c r="F57" s="589">
        <f>'rateio lote 2 adm local e bdi'!E57</f>
        <v>70</v>
      </c>
      <c r="G57" s="590" t="e">
        <f>'rateio lote 2 adm local e bdi'!K57</f>
        <v>#REF!</v>
      </c>
      <c r="H57" s="591" t="e">
        <f t="shared" si="4"/>
        <v>#REF!</v>
      </c>
    </row>
    <row r="58" spans="2:8" s="574" customFormat="1" ht="18.75" customHeight="1">
      <c r="B58" s="585" t="s">
        <v>147</v>
      </c>
      <c r="C58" s="586" t="s">
        <v>148</v>
      </c>
      <c r="D58" s="593" t="s">
        <v>149</v>
      </c>
      <c r="E58" s="592" t="s">
        <v>13</v>
      </c>
      <c r="F58" s="589">
        <f>'rateio lote 2 adm local e bdi'!E58</f>
        <v>1400</v>
      </c>
      <c r="G58" s="590" t="e">
        <f>'rateio lote 2 adm local e bdi'!K58</f>
        <v>#REF!</v>
      </c>
      <c r="H58" s="591" t="e">
        <f t="shared" si="4"/>
        <v>#REF!</v>
      </c>
    </row>
    <row r="59" spans="2:8" s="574" customFormat="1" ht="18.75" customHeight="1">
      <c r="B59" s="585" t="s">
        <v>150</v>
      </c>
      <c r="C59" s="586" t="s">
        <v>151</v>
      </c>
      <c r="D59" s="593" t="s">
        <v>152</v>
      </c>
      <c r="E59" s="592" t="s">
        <v>20</v>
      </c>
      <c r="F59" s="589">
        <f>'rateio lote 2 adm local e bdi'!E59</f>
        <v>70</v>
      </c>
      <c r="G59" s="590" t="e">
        <f>'rateio lote 2 adm local e bdi'!K59</f>
        <v>#REF!</v>
      </c>
      <c r="H59" s="591" t="e">
        <f t="shared" si="4"/>
        <v>#REF!</v>
      </c>
    </row>
    <row r="60" spans="2:8" s="574" customFormat="1" ht="18.75" customHeight="1">
      <c r="B60" s="594" t="s">
        <v>153</v>
      </c>
      <c r="C60" s="594"/>
      <c r="D60" s="594"/>
      <c r="E60" s="594"/>
      <c r="F60" s="594"/>
      <c r="G60" s="594"/>
      <c r="H60" s="595" t="e">
        <f>SUM(H51:H59)</f>
        <v>#REF!</v>
      </c>
    </row>
    <row r="61" spans="2:8" s="574" customFormat="1" ht="18.75" customHeight="1">
      <c r="B61" s="584" t="s">
        <v>154</v>
      </c>
      <c r="C61" s="584"/>
      <c r="D61" s="584"/>
      <c r="E61" s="584"/>
      <c r="F61" s="584"/>
      <c r="G61" s="584"/>
      <c r="H61" s="584"/>
    </row>
    <row r="62" spans="2:8" s="574" customFormat="1" ht="18.75" customHeight="1">
      <c r="B62" s="585" t="s">
        <v>155</v>
      </c>
      <c r="C62" s="586" t="s">
        <v>156</v>
      </c>
      <c r="D62" s="587" t="s">
        <v>157</v>
      </c>
      <c r="E62" s="592" t="s">
        <v>43</v>
      </c>
      <c r="F62" s="589">
        <f>'rateio lote 2 adm local e bdi'!E62</f>
        <v>60</v>
      </c>
      <c r="G62" s="590" t="e">
        <f>'rateio lote 2 adm local e bdi'!K62</f>
        <v>#REF!</v>
      </c>
      <c r="H62" s="591" t="e">
        <f aca="true" t="shared" si="5" ref="H62:H85">F62*G62</f>
        <v>#REF!</v>
      </c>
    </row>
    <row r="63" spans="2:8" s="574" customFormat="1" ht="18.75" customHeight="1">
      <c r="B63" s="585" t="s">
        <v>158</v>
      </c>
      <c r="C63" s="586" t="s">
        <v>159</v>
      </c>
      <c r="D63" s="587" t="s">
        <v>160</v>
      </c>
      <c r="E63" s="592" t="s">
        <v>43</v>
      </c>
      <c r="F63" s="589">
        <f>'rateio lote 2 adm local e bdi'!E63</f>
        <v>30</v>
      </c>
      <c r="G63" s="590" t="e">
        <f>'rateio lote 2 adm local e bdi'!K63</f>
        <v>#REF!</v>
      </c>
      <c r="H63" s="591" t="e">
        <f t="shared" si="5"/>
        <v>#REF!</v>
      </c>
    </row>
    <row r="64" spans="2:8" s="574" customFormat="1" ht="22.5">
      <c r="B64" s="585" t="s">
        <v>161</v>
      </c>
      <c r="C64" s="586" t="s">
        <v>162</v>
      </c>
      <c r="D64" s="587" t="s">
        <v>163</v>
      </c>
      <c r="E64" s="592" t="s">
        <v>43</v>
      </c>
      <c r="F64" s="589">
        <f>'rateio lote 2 adm local e bdi'!E64</f>
        <v>30</v>
      </c>
      <c r="G64" s="590" t="e">
        <f>'rateio lote 2 adm local e bdi'!K64</f>
        <v>#REF!</v>
      </c>
      <c r="H64" s="591" t="e">
        <f t="shared" si="5"/>
        <v>#REF!</v>
      </c>
    </row>
    <row r="65" spans="2:8" s="574" customFormat="1" ht="33.75">
      <c r="B65" s="585" t="s">
        <v>164</v>
      </c>
      <c r="C65" s="586" t="s">
        <v>165</v>
      </c>
      <c r="D65" s="587" t="s">
        <v>166</v>
      </c>
      <c r="E65" s="592" t="s">
        <v>43</v>
      </c>
      <c r="F65" s="589">
        <f>'rateio lote 2 adm local e bdi'!E65</f>
        <v>6</v>
      </c>
      <c r="G65" s="590" t="e">
        <f>'rateio lote 2 adm local e bdi'!K65</f>
        <v>#REF!</v>
      </c>
      <c r="H65" s="591" t="e">
        <f t="shared" si="5"/>
        <v>#REF!</v>
      </c>
    </row>
    <row r="66" spans="2:8" s="574" customFormat="1" ht="33.75">
      <c r="B66" s="585" t="s">
        <v>167</v>
      </c>
      <c r="C66" s="586" t="s">
        <v>168</v>
      </c>
      <c r="D66" s="587" t="s">
        <v>169</v>
      </c>
      <c r="E66" s="592" t="s">
        <v>43</v>
      </c>
      <c r="F66" s="589">
        <f>'rateio lote 2 adm local e bdi'!E66</f>
        <v>6</v>
      </c>
      <c r="G66" s="590" t="e">
        <f>'rateio lote 2 adm local e bdi'!K66</f>
        <v>#REF!</v>
      </c>
      <c r="H66" s="591" t="e">
        <f t="shared" si="5"/>
        <v>#REF!</v>
      </c>
    </row>
    <row r="67" spans="2:8" s="574" customFormat="1" ht="33.75">
      <c r="B67" s="585" t="s">
        <v>170</v>
      </c>
      <c r="C67" s="586" t="s">
        <v>171</v>
      </c>
      <c r="D67" s="587" t="s">
        <v>172</v>
      </c>
      <c r="E67" s="592" t="s">
        <v>43</v>
      </c>
      <c r="F67" s="589">
        <f>'rateio lote 2 adm local e bdi'!E67</f>
        <v>6</v>
      </c>
      <c r="G67" s="590" t="e">
        <f>'rateio lote 2 adm local e bdi'!K67</f>
        <v>#REF!</v>
      </c>
      <c r="H67" s="591" t="e">
        <f t="shared" si="5"/>
        <v>#REF!</v>
      </c>
    </row>
    <row r="68" spans="2:8" s="574" customFormat="1" ht="18" customHeight="1">
      <c r="B68" s="585" t="s">
        <v>173</v>
      </c>
      <c r="C68" s="586" t="s">
        <v>174</v>
      </c>
      <c r="D68" s="587" t="s">
        <v>175</v>
      </c>
      <c r="E68" s="588" t="s">
        <v>36</v>
      </c>
      <c r="F68" s="589">
        <f>'rateio lote 2 adm local e bdi'!E68</f>
        <v>6</v>
      </c>
      <c r="G68" s="590" t="e">
        <f>'rateio lote 2 adm local e bdi'!K68</f>
        <v>#REF!</v>
      </c>
      <c r="H68" s="591" t="e">
        <f t="shared" si="5"/>
        <v>#REF!</v>
      </c>
    </row>
    <row r="69" spans="2:8" s="574" customFormat="1" ht="33.75">
      <c r="B69" s="585" t="s">
        <v>176</v>
      </c>
      <c r="C69" s="586" t="s">
        <v>177</v>
      </c>
      <c r="D69" s="587" t="s">
        <v>178</v>
      </c>
      <c r="E69" s="592" t="s">
        <v>43</v>
      </c>
      <c r="F69" s="589">
        <f>'rateio lote 2 adm local e bdi'!E69</f>
        <v>6</v>
      </c>
      <c r="G69" s="590" t="e">
        <f>'rateio lote 2 adm local e bdi'!K69</f>
        <v>#REF!</v>
      </c>
      <c r="H69" s="591" t="e">
        <f t="shared" si="5"/>
        <v>#REF!</v>
      </c>
    </row>
    <row r="70" spans="2:8" s="574" customFormat="1" ht="33.75">
      <c r="B70" s="585" t="s">
        <v>179</v>
      </c>
      <c r="C70" s="586" t="s">
        <v>180</v>
      </c>
      <c r="D70" s="587" t="s">
        <v>181</v>
      </c>
      <c r="E70" s="592" t="s">
        <v>43</v>
      </c>
      <c r="F70" s="589">
        <f>'rateio lote 2 adm local e bdi'!E70</f>
        <v>3</v>
      </c>
      <c r="G70" s="590" t="e">
        <f>'rateio lote 2 adm local e bdi'!K70</f>
        <v>#REF!</v>
      </c>
      <c r="H70" s="591" t="e">
        <f t="shared" si="5"/>
        <v>#REF!</v>
      </c>
    </row>
    <row r="71" spans="2:8" s="574" customFormat="1" ht="33.75">
      <c r="B71" s="585" t="s">
        <v>182</v>
      </c>
      <c r="C71" s="586" t="s">
        <v>183</v>
      </c>
      <c r="D71" s="587" t="s">
        <v>184</v>
      </c>
      <c r="E71" s="588" t="s">
        <v>36</v>
      </c>
      <c r="F71" s="589">
        <f>'rateio lote 2 adm local e bdi'!E71</f>
        <v>180</v>
      </c>
      <c r="G71" s="590" t="e">
        <f>'rateio lote 2 adm local e bdi'!K71</f>
        <v>#REF!</v>
      </c>
      <c r="H71" s="591" t="e">
        <f t="shared" si="5"/>
        <v>#REF!</v>
      </c>
    </row>
    <row r="72" spans="2:8" s="574" customFormat="1" ht="33.75">
      <c r="B72" s="585" t="s">
        <v>185</v>
      </c>
      <c r="C72" s="586" t="s">
        <v>186</v>
      </c>
      <c r="D72" s="587" t="s">
        <v>187</v>
      </c>
      <c r="E72" s="588" t="s">
        <v>36</v>
      </c>
      <c r="F72" s="589">
        <f>'rateio lote 2 adm local e bdi'!E72</f>
        <v>200</v>
      </c>
      <c r="G72" s="590" t="e">
        <f>'rateio lote 2 adm local e bdi'!K72</f>
        <v>#REF!</v>
      </c>
      <c r="H72" s="591" t="e">
        <f t="shared" si="5"/>
        <v>#REF!</v>
      </c>
    </row>
    <row r="73" spans="2:8" s="574" customFormat="1" ht="33.75">
      <c r="B73" s="585" t="s">
        <v>188</v>
      </c>
      <c r="C73" s="586" t="s">
        <v>189</v>
      </c>
      <c r="D73" s="587" t="s">
        <v>190</v>
      </c>
      <c r="E73" s="588" t="s">
        <v>36</v>
      </c>
      <c r="F73" s="589">
        <f>'rateio lote 2 adm local e bdi'!E73</f>
        <v>120</v>
      </c>
      <c r="G73" s="590" t="e">
        <f>'rateio lote 2 adm local e bdi'!K73</f>
        <v>#REF!</v>
      </c>
      <c r="H73" s="591" t="e">
        <f t="shared" si="5"/>
        <v>#REF!</v>
      </c>
    </row>
    <row r="74" spans="2:8" s="574" customFormat="1" ht="33.75">
      <c r="B74" s="585" t="s">
        <v>191</v>
      </c>
      <c r="C74" s="586" t="s">
        <v>192</v>
      </c>
      <c r="D74" s="587" t="s">
        <v>193</v>
      </c>
      <c r="E74" s="588" t="s">
        <v>36</v>
      </c>
      <c r="F74" s="589">
        <f>'rateio lote 2 adm local e bdi'!E74</f>
        <v>75</v>
      </c>
      <c r="G74" s="590" t="e">
        <f>'rateio lote 2 adm local e bdi'!K74</f>
        <v>#REF!</v>
      </c>
      <c r="H74" s="591" t="e">
        <f t="shared" si="5"/>
        <v>#REF!</v>
      </c>
    </row>
    <row r="75" spans="2:8" s="574" customFormat="1" ht="33.75">
      <c r="B75" s="585" t="s">
        <v>194</v>
      </c>
      <c r="C75" s="586" t="s">
        <v>195</v>
      </c>
      <c r="D75" s="587" t="s">
        <v>196</v>
      </c>
      <c r="E75" s="588" t="s">
        <v>36</v>
      </c>
      <c r="F75" s="589">
        <f>'rateio lote 2 adm local e bdi'!E75</f>
        <v>50</v>
      </c>
      <c r="G75" s="590" t="e">
        <f>'rateio lote 2 adm local e bdi'!K75</f>
        <v>#REF!</v>
      </c>
      <c r="H75" s="591" t="e">
        <f t="shared" si="5"/>
        <v>#REF!</v>
      </c>
    </row>
    <row r="76" spans="2:8" s="574" customFormat="1" ht="33.75">
      <c r="B76" s="585" t="s">
        <v>197</v>
      </c>
      <c r="C76" s="586" t="s">
        <v>198</v>
      </c>
      <c r="D76" s="587" t="s">
        <v>199</v>
      </c>
      <c r="E76" s="588" t="s">
        <v>36</v>
      </c>
      <c r="F76" s="589">
        <f>'rateio lote 2 adm local e bdi'!E76</f>
        <v>50</v>
      </c>
      <c r="G76" s="590" t="e">
        <f>'rateio lote 2 adm local e bdi'!K76</f>
        <v>#REF!</v>
      </c>
      <c r="H76" s="591" t="e">
        <f t="shared" si="5"/>
        <v>#REF!</v>
      </c>
    </row>
    <row r="77" spans="2:8" s="574" customFormat="1" ht="22.5">
      <c r="B77" s="585" t="s">
        <v>200</v>
      </c>
      <c r="C77" s="586" t="s">
        <v>201</v>
      </c>
      <c r="D77" s="587" t="s">
        <v>202</v>
      </c>
      <c r="E77" s="592" t="s">
        <v>43</v>
      </c>
      <c r="F77" s="589">
        <f>'rateio lote 2 adm local e bdi'!E77</f>
        <v>75</v>
      </c>
      <c r="G77" s="590" t="e">
        <f>'rateio lote 2 adm local e bdi'!K77</f>
        <v>#REF!</v>
      </c>
      <c r="H77" s="591" t="e">
        <f t="shared" si="5"/>
        <v>#REF!</v>
      </c>
    </row>
    <row r="78" spans="2:8" s="574" customFormat="1" ht="22.5">
      <c r="B78" s="585" t="s">
        <v>203</v>
      </c>
      <c r="C78" s="586" t="s">
        <v>204</v>
      </c>
      <c r="D78" s="587" t="s">
        <v>205</v>
      </c>
      <c r="E78" s="592" t="s">
        <v>43</v>
      </c>
      <c r="F78" s="589">
        <f>'rateio lote 2 adm local e bdi'!E78</f>
        <v>75</v>
      </c>
      <c r="G78" s="590" t="e">
        <f>'rateio lote 2 adm local e bdi'!K78</f>
        <v>#REF!</v>
      </c>
      <c r="H78" s="591" t="e">
        <f t="shared" si="5"/>
        <v>#REF!</v>
      </c>
    </row>
    <row r="79" spans="2:8" s="574" customFormat="1" ht="22.5">
      <c r="B79" s="585" t="s">
        <v>206</v>
      </c>
      <c r="C79" s="586" t="s">
        <v>207</v>
      </c>
      <c r="D79" s="587" t="s">
        <v>208</v>
      </c>
      <c r="E79" s="592" t="s">
        <v>43</v>
      </c>
      <c r="F79" s="589">
        <f>'rateio lote 2 adm local e bdi'!E79</f>
        <v>35</v>
      </c>
      <c r="G79" s="590" t="e">
        <f>'rateio lote 2 adm local e bdi'!K79</f>
        <v>#REF!</v>
      </c>
      <c r="H79" s="591" t="e">
        <f t="shared" si="5"/>
        <v>#REF!</v>
      </c>
    </row>
    <row r="80" spans="2:8" s="574" customFormat="1" ht="33.75">
      <c r="B80" s="585" t="s">
        <v>209</v>
      </c>
      <c r="C80" s="586" t="s">
        <v>210</v>
      </c>
      <c r="D80" s="593" t="s">
        <v>211</v>
      </c>
      <c r="E80" s="592" t="s">
        <v>43</v>
      </c>
      <c r="F80" s="589">
        <f>'rateio lote 2 adm local e bdi'!E80</f>
        <v>320</v>
      </c>
      <c r="G80" s="590" t="e">
        <f>'rateio lote 2 adm local e bdi'!K80</f>
        <v>#REF!</v>
      </c>
      <c r="H80" s="591" t="e">
        <f t="shared" si="5"/>
        <v>#REF!</v>
      </c>
    </row>
    <row r="81" spans="2:8" s="574" customFormat="1" ht="33.75">
      <c r="B81" s="585" t="s">
        <v>212</v>
      </c>
      <c r="C81" s="586" t="s">
        <v>213</v>
      </c>
      <c r="D81" s="593" t="s">
        <v>214</v>
      </c>
      <c r="E81" s="592" t="s">
        <v>43</v>
      </c>
      <c r="F81" s="589">
        <f>'rateio lote 2 adm local e bdi'!E81</f>
        <v>400</v>
      </c>
      <c r="G81" s="590" t="e">
        <f>'rateio lote 2 adm local e bdi'!K81</f>
        <v>#REF!</v>
      </c>
      <c r="H81" s="591" t="e">
        <f t="shared" si="5"/>
        <v>#REF!</v>
      </c>
    </row>
    <row r="82" spans="2:8" s="574" customFormat="1" ht="33.75">
      <c r="B82" s="585" t="s">
        <v>215</v>
      </c>
      <c r="C82" s="586" t="s">
        <v>216</v>
      </c>
      <c r="D82" s="593" t="s">
        <v>217</v>
      </c>
      <c r="E82" s="592" t="s">
        <v>43</v>
      </c>
      <c r="F82" s="589">
        <f>'rateio lote 2 adm local e bdi'!E82</f>
        <v>75</v>
      </c>
      <c r="G82" s="590" t="e">
        <f>'rateio lote 2 adm local e bdi'!K82</f>
        <v>#REF!</v>
      </c>
      <c r="H82" s="591" t="e">
        <f t="shared" si="5"/>
        <v>#REF!</v>
      </c>
    </row>
    <row r="83" spans="2:8" s="574" customFormat="1" ht="22.5">
      <c r="B83" s="585" t="s">
        <v>218</v>
      </c>
      <c r="C83" s="586" t="s">
        <v>219</v>
      </c>
      <c r="D83" s="593" t="s">
        <v>220</v>
      </c>
      <c r="E83" s="592" t="s">
        <v>36</v>
      </c>
      <c r="F83" s="589">
        <f>'rateio lote 2 adm local e bdi'!E83</f>
        <v>120</v>
      </c>
      <c r="G83" s="590" t="e">
        <f>'rateio lote 2 adm local e bdi'!K83</f>
        <v>#REF!</v>
      </c>
      <c r="H83" s="591" t="e">
        <f t="shared" si="5"/>
        <v>#REF!</v>
      </c>
    </row>
    <row r="84" spans="2:8" s="574" customFormat="1" ht="18.75" customHeight="1">
      <c r="B84" s="585" t="s">
        <v>221</v>
      </c>
      <c r="C84" s="586"/>
      <c r="D84" s="593" t="s">
        <v>222</v>
      </c>
      <c r="E84" s="592" t="s">
        <v>36</v>
      </c>
      <c r="F84" s="589">
        <f>'rateio lote 2 adm local e bdi'!E84</f>
        <v>120</v>
      </c>
      <c r="G84" s="590" t="e">
        <f>'rateio lote 2 adm local e bdi'!K84</f>
        <v>#REF!</v>
      </c>
      <c r="H84" s="591" t="e">
        <f t="shared" si="5"/>
        <v>#REF!</v>
      </c>
    </row>
    <row r="85" spans="2:8" s="574" customFormat="1" ht="18.75" customHeight="1">
      <c r="B85" s="585" t="s">
        <v>223</v>
      </c>
      <c r="C85" s="586"/>
      <c r="D85" s="593" t="s">
        <v>224</v>
      </c>
      <c r="E85" s="592" t="s">
        <v>36</v>
      </c>
      <c r="F85" s="589">
        <f>'rateio lote 2 adm local e bdi'!E85</f>
        <v>60</v>
      </c>
      <c r="G85" s="590" t="e">
        <f>'rateio lote 2 adm local e bdi'!K85</f>
        <v>#REF!</v>
      </c>
      <c r="H85" s="591" t="e">
        <f t="shared" si="5"/>
        <v>#REF!</v>
      </c>
    </row>
    <row r="86" spans="2:8" s="574" customFormat="1" ht="18.75" customHeight="1">
      <c r="B86" s="594" t="s">
        <v>225</v>
      </c>
      <c r="C86" s="594"/>
      <c r="D86" s="594"/>
      <c r="E86" s="594"/>
      <c r="F86" s="594"/>
      <c r="G86" s="594"/>
      <c r="H86" s="596" t="e">
        <f>SUM(H62:H85)</f>
        <v>#REF!</v>
      </c>
    </row>
    <row r="87" spans="2:8" s="574" customFormat="1" ht="18.75" customHeight="1">
      <c r="B87" s="584" t="s">
        <v>226</v>
      </c>
      <c r="C87" s="584"/>
      <c r="D87" s="584"/>
      <c r="E87" s="584"/>
      <c r="F87" s="584"/>
      <c r="G87" s="584"/>
      <c r="H87" s="584"/>
    </row>
    <row r="88" spans="2:8" s="574" customFormat="1" ht="24">
      <c r="B88" s="585" t="s">
        <v>227</v>
      </c>
      <c r="C88" s="586" t="s">
        <v>228</v>
      </c>
      <c r="D88" s="593" t="s">
        <v>229</v>
      </c>
      <c r="E88" s="592" t="s">
        <v>230</v>
      </c>
      <c r="F88" s="589">
        <f>'rateio lote 2 adm local e bdi'!E88</f>
        <v>800</v>
      </c>
      <c r="G88" s="590" t="e">
        <f>'rateio lote 2 adm local e bdi'!K88</f>
        <v>#REF!</v>
      </c>
      <c r="H88" s="591" t="e">
        <f aca="true" t="shared" si="6" ref="H88:H90">F88*G88</f>
        <v>#REF!</v>
      </c>
    </row>
    <row r="89" spans="2:8" s="574" customFormat="1" ht="22.5">
      <c r="B89" s="585" t="s">
        <v>231</v>
      </c>
      <c r="C89" s="586" t="s">
        <v>232</v>
      </c>
      <c r="D89" s="593" t="s">
        <v>233</v>
      </c>
      <c r="E89" s="592" t="s">
        <v>230</v>
      </c>
      <c r="F89" s="589">
        <f>'rateio lote 2 adm local e bdi'!E89</f>
        <v>800</v>
      </c>
      <c r="G89" s="590" t="e">
        <f>'rateio lote 2 adm local e bdi'!K89</f>
        <v>#REF!</v>
      </c>
      <c r="H89" s="591" t="e">
        <f t="shared" si="6"/>
        <v>#REF!</v>
      </c>
    </row>
    <row r="90" spans="2:8" s="574" customFormat="1" ht="22.5">
      <c r="B90" s="585" t="s">
        <v>234</v>
      </c>
      <c r="C90" s="586" t="s">
        <v>235</v>
      </c>
      <c r="D90" s="587" t="s">
        <v>236</v>
      </c>
      <c r="E90" s="588" t="s">
        <v>230</v>
      </c>
      <c r="F90" s="589">
        <f>'rateio lote 2 adm local e bdi'!E90</f>
        <v>400</v>
      </c>
      <c r="G90" s="590" t="e">
        <f>'rateio lote 2 adm local e bdi'!K90</f>
        <v>#REF!</v>
      </c>
      <c r="H90" s="591" t="e">
        <f t="shared" si="6"/>
        <v>#REF!</v>
      </c>
    </row>
    <row r="91" spans="2:8" s="574" customFormat="1" ht="18.75" customHeight="1">
      <c r="B91" s="594" t="s">
        <v>237</v>
      </c>
      <c r="C91" s="594"/>
      <c r="D91" s="594"/>
      <c r="E91" s="594"/>
      <c r="F91" s="594"/>
      <c r="G91" s="594"/>
      <c r="H91" s="596" t="e">
        <f>SUM(H88:H90)</f>
        <v>#REF!</v>
      </c>
    </row>
    <row r="92" spans="2:8" s="574" customFormat="1" ht="18.75" customHeight="1">
      <c r="B92" s="597" t="s">
        <v>238</v>
      </c>
      <c r="C92" s="597"/>
      <c r="D92" s="597"/>
      <c r="E92" s="597"/>
      <c r="F92" s="597"/>
      <c r="G92" s="597"/>
      <c r="H92" s="598" t="e">
        <f>H24+H30+H41+H49+H60+H86+H91</f>
        <v>#REF!</v>
      </c>
    </row>
    <row r="93" s="575" customFormat="1" ht="11.25"/>
    <row r="94" s="575" customFormat="1" ht="11.25"/>
    <row r="95" s="575" customFormat="1" ht="11.25"/>
    <row r="96" s="575" customFormat="1" ht="11.25"/>
    <row r="97" s="575" customFormat="1" ht="11.25"/>
    <row r="98" s="575" customFormat="1" ht="11.25"/>
    <row r="99" s="575" customFormat="1" ht="11.25"/>
    <row r="100" s="575" customFormat="1" ht="11.25"/>
    <row r="101" s="575" customFormat="1" ht="11.25"/>
    <row r="102" s="575" customFormat="1" ht="11.25"/>
    <row r="103" s="575" customFormat="1" ht="11.25"/>
    <row r="104" s="575" customFormat="1" ht="11.25"/>
    <row r="105" s="575" customFormat="1" ht="11.25"/>
    <row r="106" s="575" customFormat="1" ht="11.25"/>
    <row r="107" s="575" customFormat="1" ht="11.25"/>
    <row r="108" s="575" customFormat="1" ht="11.25"/>
    <row r="109" s="575" customFormat="1" ht="11.25"/>
    <row r="110" s="575" customFormat="1" ht="11.25"/>
    <row r="111" s="575" customFormat="1" ht="11.25"/>
    <row r="112" s="575" customFormat="1" ht="11.25"/>
    <row r="113" s="575" customFormat="1" ht="11.25"/>
    <row r="114" s="575" customFormat="1" ht="11.25"/>
    <row r="115" s="575" customFormat="1" ht="11.25"/>
    <row r="116" s="575" customFormat="1" ht="11.25"/>
    <row r="117" s="575" customFormat="1" ht="11.25"/>
    <row r="118" s="575" customFormat="1" ht="11.25"/>
    <row r="119" s="575" customFormat="1" ht="11.25"/>
    <row r="120" s="575" customFormat="1" ht="11.25"/>
    <row r="121" s="575" customFormat="1" ht="11.25"/>
    <row r="122" s="575" customFormat="1" ht="11.25"/>
    <row r="123" s="575" customFormat="1" ht="11.25"/>
    <row r="124" s="575" customFormat="1" ht="11.25"/>
  </sheetData>
  <sheetProtection selectLockedCells="1" selectUnlockedCells="1"/>
  <mergeCells count="25">
    <mergeCell ref="B3:H3"/>
    <mergeCell ref="B4:H4"/>
    <mergeCell ref="B7:H7"/>
    <mergeCell ref="B24:G24"/>
    <mergeCell ref="B25:H25"/>
    <mergeCell ref="B30:G30"/>
    <mergeCell ref="B31:H31"/>
    <mergeCell ref="B41:G41"/>
    <mergeCell ref="B42:H42"/>
    <mergeCell ref="B49:G49"/>
    <mergeCell ref="B50:H50"/>
    <mergeCell ref="B60:G60"/>
    <mergeCell ref="B61:H61"/>
    <mergeCell ref="B86:G86"/>
    <mergeCell ref="B87:H87"/>
    <mergeCell ref="B91:G91"/>
    <mergeCell ref="B92:G92"/>
    <mergeCell ref="B5:B6"/>
    <mergeCell ref="C5:C6"/>
    <mergeCell ref="D5:D6"/>
    <mergeCell ref="E5:E6"/>
    <mergeCell ref="F5:F6"/>
    <mergeCell ref="G5:G6"/>
    <mergeCell ref="H5:H6"/>
    <mergeCell ref="A1:I2"/>
  </mergeCells>
  <printOptions/>
  <pageMargins left="0.9798611111111111" right="0.5902777777777778" top="0.3902777777777778" bottom="0.5902777777777778" header="0.5118055555555555" footer="0.5118055555555555"/>
  <pageSetup horizontalDpi="300" verticalDpi="300" orientation="portrait" paperSize="9" scale="44"/>
</worksheet>
</file>

<file path=xl/worksheets/sheet3.xml><?xml version="1.0" encoding="utf-8"?>
<worksheet xmlns="http://schemas.openxmlformats.org/spreadsheetml/2006/main" xmlns:r="http://schemas.openxmlformats.org/officeDocument/2006/relationships">
  <dimension ref="A1:L93"/>
  <sheetViews>
    <sheetView showGridLines="0" view="pageBreakPreview" zoomScale="90" zoomScaleNormal="90" zoomScaleSheetLayoutView="90" workbookViewId="0" topLeftCell="G85">
      <selection activeCell="F88" sqref="F88"/>
    </sheetView>
  </sheetViews>
  <sheetFormatPr defaultColWidth="9.140625" defaultRowHeight="15"/>
  <cols>
    <col min="1" max="1" width="2.7109375" style="542" bestFit="1" customWidth="1"/>
    <col min="2" max="2" width="8.7109375" style="542" bestFit="1" customWidth="1"/>
    <col min="3" max="3" width="108.7109375" style="542" bestFit="1" customWidth="1"/>
    <col min="4" max="4" width="14.7109375" style="542" bestFit="1" customWidth="1"/>
    <col min="5" max="5" width="15.7109375" style="542" bestFit="1" customWidth="1"/>
    <col min="6" max="11" width="17.7109375" style="542" bestFit="1" customWidth="1"/>
    <col min="12" max="12" width="2.7109375" style="542" bestFit="1" customWidth="1"/>
    <col min="13" max="16384" width="9.140625" style="542" bestFit="1" customWidth="1"/>
  </cols>
  <sheetData>
    <row r="1" spans="1:12" s="439" customFormat="1" ht="18.75" customHeight="1">
      <c r="A1" s="543"/>
      <c r="B1" s="444" t="s">
        <v>239</v>
      </c>
      <c r="C1" s="444"/>
      <c r="D1" s="444"/>
      <c r="E1" s="444"/>
      <c r="F1" s="444"/>
      <c r="G1" s="444"/>
      <c r="H1" s="444"/>
      <c r="I1" s="444"/>
      <c r="J1" s="444"/>
      <c r="K1" s="444"/>
      <c r="L1" s="543"/>
    </row>
    <row r="2" spans="1:12" s="439" customFormat="1" ht="18.75" customHeight="1">
      <c r="A2" s="543"/>
      <c r="B2" s="444"/>
      <c r="C2" s="444"/>
      <c r="D2" s="444"/>
      <c r="E2" s="444"/>
      <c r="F2" s="444"/>
      <c r="G2" s="444"/>
      <c r="H2" s="444"/>
      <c r="I2" s="444"/>
      <c r="J2" s="444"/>
      <c r="K2" s="444"/>
      <c r="L2" s="543"/>
    </row>
    <row r="3" spans="1:12" s="439" customFormat="1" ht="18.75" customHeight="1">
      <c r="A3" s="543"/>
      <c r="B3" s="544" t="s">
        <v>240</v>
      </c>
      <c r="C3" s="544"/>
      <c r="D3" s="544"/>
      <c r="E3" s="544"/>
      <c r="F3" s="544"/>
      <c r="G3" s="544"/>
      <c r="H3" s="544"/>
      <c r="I3" s="544"/>
      <c r="J3" s="544"/>
      <c r="K3" s="544"/>
      <c r="L3" s="543"/>
    </row>
    <row r="4" spans="1:12" s="439" customFormat="1" ht="9.75" customHeight="1">
      <c r="A4" s="543"/>
      <c r="B4" s="545"/>
      <c r="C4" s="545"/>
      <c r="D4" s="545"/>
      <c r="E4" s="545"/>
      <c r="F4" s="545"/>
      <c r="G4" s="545"/>
      <c r="H4" s="545"/>
      <c r="I4" s="545"/>
      <c r="J4" s="545"/>
      <c r="K4" s="545"/>
      <c r="L4" s="543"/>
    </row>
    <row r="5" spans="1:12" s="439" customFormat="1" ht="22.5" customHeight="1">
      <c r="A5" s="543"/>
      <c r="B5" s="546" t="s">
        <v>2</v>
      </c>
      <c r="C5" s="547" t="s">
        <v>4</v>
      </c>
      <c r="D5" s="548" t="s">
        <v>5</v>
      </c>
      <c r="E5" s="548" t="s">
        <v>6</v>
      </c>
      <c r="F5" s="549" t="s">
        <v>241</v>
      </c>
      <c r="G5" s="549"/>
      <c r="H5" s="549"/>
      <c r="I5" s="549" t="s">
        <v>242</v>
      </c>
      <c r="J5" s="549"/>
      <c r="K5" s="563" t="s">
        <v>243</v>
      </c>
      <c r="L5" s="543"/>
    </row>
    <row r="6" spans="1:12" s="439" customFormat="1" ht="22.5" customHeight="1">
      <c r="A6" s="543"/>
      <c r="B6" s="546"/>
      <c r="C6" s="547"/>
      <c r="D6" s="548"/>
      <c r="E6" s="548"/>
      <c r="F6" s="550" t="s">
        <v>244</v>
      </c>
      <c r="G6" s="550" t="s">
        <v>245</v>
      </c>
      <c r="H6" s="550" t="s">
        <v>238</v>
      </c>
      <c r="I6" s="550" t="s">
        <v>246</v>
      </c>
      <c r="J6" s="550" t="s">
        <v>247</v>
      </c>
      <c r="K6" s="564" t="s">
        <v>247</v>
      </c>
      <c r="L6" s="543"/>
    </row>
    <row r="7" spans="1:12" s="439" customFormat="1" ht="17.25" customHeight="1">
      <c r="A7" s="543"/>
      <c r="B7" s="551" t="s">
        <v>248</v>
      </c>
      <c r="C7" s="551"/>
      <c r="D7" s="551"/>
      <c r="E7" s="551"/>
      <c r="F7" s="551"/>
      <c r="G7" s="551"/>
      <c r="H7" s="551"/>
      <c r="I7" s="551"/>
      <c r="J7" s="551"/>
      <c r="K7" s="551"/>
      <c r="L7" s="543"/>
    </row>
    <row r="8" spans="1:12" s="439" customFormat="1" ht="17.25" customHeight="1">
      <c r="A8" s="543"/>
      <c r="B8" s="552" t="s">
        <v>10</v>
      </c>
      <c r="C8" s="553" t="s">
        <v>12</v>
      </c>
      <c r="D8" s="554" t="s">
        <v>13</v>
      </c>
      <c r="E8" s="554">
        <v>180</v>
      </c>
      <c r="F8" s="555">
        <v>9.53</v>
      </c>
      <c r="G8" s="555">
        <f>ROUND(F8*(1+(insumos!E$37/100)),2)</f>
        <v>11.67</v>
      </c>
      <c r="H8" s="556">
        <f aca="true" t="shared" si="0" ref="H8:H23">ROUND(G8*E8,2)</f>
        <v>2100.6</v>
      </c>
      <c r="I8" s="565" t="e">
        <f aca="true" t="shared" si="1" ref="I8:I23">ROUND(H8/H$24*I$24,2)</f>
        <v>#REF!</v>
      </c>
      <c r="J8" s="565" t="e">
        <f aca="true" t="shared" si="2" ref="J8:J23">ROUND(I8/E8,2)</f>
        <v>#REF!</v>
      </c>
      <c r="K8" s="566" t="e">
        <f aca="true" t="shared" si="3" ref="K8:K23">G8+J8</f>
        <v>#REF!</v>
      </c>
      <c r="L8" s="543"/>
    </row>
    <row r="9" spans="1:12" s="439" customFormat="1" ht="17.25" customHeight="1">
      <c r="A9" s="543"/>
      <c r="B9" s="552" t="s">
        <v>14</v>
      </c>
      <c r="C9" s="553" t="s">
        <v>16</v>
      </c>
      <c r="D9" s="554" t="s">
        <v>13</v>
      </c>
      <c r="E9" s="554">
        <v>180</v>
      </c>
      <c r="F9" s="555">
        <v>13.37</v>
      </c>
      <c r="G9" s="555">
        <f>ROUND(F9*(1+(insumos!E$37/100)),2)</f>
        <v>16.38</v>
      </c>
      <c r="H9" s="556">
        <f t="shared" si="0"/>
        <v>2948.4</v>
      </c>
      <c r="I9" s="565" t="e">
        <f t="shared" si="1"/>
        <v>#REF!</v>
      </c>
      <c r="J9" s="565" t="e">
        <f t="shared" si="2"/>
        <v>#REF!</v>
      </c>
      <c r="K9" s="566" t="e">
        <f t="shared" si="3"/>
        <v>#REF!</v>
      </c>
      <c r="L9" s="543"/>
    </row>
    <row r="10" spans="1:12" s="439" customFormat="1" ht="17.25" customHeight="1">
      <c r="A10" s="543"/>
      <c r="B10" s="552" t="s">
        <v>17</v>
      </c>
      <c r="C10" s="553" t="s">
        <v>19</v>
      </c>
      <c r="D10" s="554" t="s">
        <v>20</v>
      </c>
      <c r="E10" s="554">
        <v>70</v>
      </c>
      <c r="F10" s="555">
        <v>95.3</v>
      </c>
      <c r="G10" s="555">
        <f>ROUND(F10*(1+(insumos!E$37/100)),2)</f>
        <v>116.74</v>
      </c>
      <c r="H10" s="556">
        <f t="shared" si="0"/>
        <v>8171.8</v>
      </c>
      <c r="I10" s="565" t="e">
        <f t="shared" si="1"/>
        <v>#REF!</v>
      </c>
      <c r="J10" s="565" t="e">
        <f t="shared" si="2"/>
        <v>#REF!</v>
      </c>
      <c r="K10" s="566" t="e">
        <f t="shared" si="3"/>
        <v>#REF!</v>
      </c>
      <c r="L10" s="543"/>
    </row>
    <row r="11" spans="1:12" s="439" customFormat="1" ht="17.25" customHeight="1">
      <c r="A11" s="543"/>
      <c r="B11" s="552" t="s">
        <v>21</v>
      </c>
      <c r="C11" s="553" t="s">
        <v>23</v>
      </c>
      <c r="D11" s="554" t="s">
        <v>20</v>
      </c>
      <c r="E11" s="554">
        <v>20</v>
      </c>
      <c r="F11" s="555">
        <v>131.96</v>
      </c>
      <c r="G11" s="555">
        <f>ROUND(F11*(1+(insumos!E$37/100)),2)</f>
        <v>161.65</v>
      </c>
      <c r="H11" s="556">
        <f t="shared" si="0"/>
        <v>3233</v>
      </c>
      <c r="I11" s="565" t="e">
        <f t="shared" si="1"/>
        <v>#REF!</v>
      </c>
      <c r="J11" s="565" t="e">
        <f t="shared" si="2"/>
        <v>#REF!</v>
      </c>
      <c r="K11" s="566" t="e">
        <f t="shared" si="3"/>
        <v>#REF!</v>
      </c>
      <c r="L11" s="543"/>
    </row>
    <row r="12" spans="1:12" s="439" customFormat="1" ht="17.25" customHeight="1">
      <c r="A12" s="543"/>
      <c r="B12" s="552" t="s">
        <v>24</v>
      </c>
      <c r="C12" s="553" t="s">
        <v>26</v>
      </c>
      <c r="D12" s="554" t="s">
        <v>13</v>
      </c>
      <c r="E12" s="554">
        <v>300</v>
      </c>
      <c r="F12" s="555">
        <v>8.41</v>
      </c>
      <c r="G12" s="555">
        <f>ROUND(F12*(1+(insumos!E$37/100)),2)</f>
        <v>10.3</v>
      </c>
      <c r="H12" s="556">
        <f t="shared" si="0"/>
        <v>3090</v>
      </c>
      <c r="I12" s="565" t="e">
        <f t="shared" si="1"/>
        <v>#REF!</v>
      </c>
      <c r="J12" s="565" t="e">
        <f t="shared" si="2"/>
        <v>#REF!</v>
      </c>
      <c r="K12" s="566" t="e">
        <f t="shared" si="3"/>
        <v>#REF!</v>
      </c>
      <c r="L12" s="543"/>
    </row>
    <row r="13" spans="1:12" s="439" customFormat="1" ht="17.25" customHeight="1">
      <c r="A13" s="543"/>
      <c r="B13" s="552" t="s">
        <v>27</v>
      </c>
      <c r="C13" s="553" t="s">
        <v>29</v>
      </c>
      <c r="D13" s="554" t="s">
        <v>13</v>
      </c>
      <c r="E13" s="554">
        <v>150</v>
      </c>
      <c r="F13" s="555">
        <v>11.01</v>
      </c>
      <c r="G13" s="555">
        <f>ROUND(F13*(1+(insumos!E$37/100)),2)</f>
        <v>13.49</v>
      </c>
      <c r="H13" s="556">
        <f t="shared" si="0"/>
        <v>2023.5</v>
      </c>
      <c r="I13" s="565" t="e">
        <f t="shared" si="1"/>
        <v>#REF!</v>
      </c>
      <c r="J13" s="565" t="e">
        <f t="shared" si="2"/>
        <v>#REF!</v>
      </c>
      <c r="K13" s="566" t="e">
        <f t="shared" si="3"/>
        <v>#REF!</v>
      </c>
      <c r="L13" s="543"/>
    </row>
    <row r="14" spans="1:12" s="439" customFormat="1" ht="17.25" customHeight="1">
      <c r="A14" s="543"/>
      <c r="B14" s="552" t="s">
        <v>30</v>
      </c>
      <c r="C14" s="553" t="s">
        <v>32</v>
      </c>
      <c r="D14" s="554" t="s">
        <v>13</v>
      </c>
      <c r="E14" s="554">
        <v>120</v>
      </c>
      <c r="F14" s="555">
        <v>5.63</v>
      </c>
      <c r="G14" s="555">
        <f>ROUND(F14*(1+(insumos!E$37/100)),2)</f>
        <v>6.9</v>
      </c>
      <c r="H14" s="556">
        <f t="shared" si="0"/>
        <v>828</v>
      </c>
      <c r="I14" s="565" t="e">
        <f t="shared" si="1"/>
        <v>#REF!</v>
      </c>
      <c r="J14" s="565" t="e">
        <f t="shared" si="2"/>
        <v>#REF!</v>
      </c>
      <c r="K14" s="566" t="e">
        <f t="shared" si="3"/>
        <v>#REF!</v>
      </c>
      <c r="L14" s="543"/>
    </row>
    <row r="15" spans="1:12" s="439" customFormat="1" ht="17.25" customHeight="1">
      <c r="A15" s="543"/>
      <c r="B15" s="552" t="s">
        <v>33</v>
      </c>
      <c r="C15" s="553" t="s">
        <v>249</v>
      </c>
      <c r="D15" s="554" t="s">
        <v>36</v>
      </c>
      <c r="E15" s="554">
        <v>240</v>
      </c>
      <c r="F15" s="555">
        <v>1.49</v>
      </c>
      <c r="G15" s="555">
        <f>ROUND(F15*(1+(insumos!E$37/100)),2)</f>
        <v>1.83</v>
      </c>
      <c r="H15" s="556">
        <f t="shared" si="0"/>
        <v>439.2</v>
      </c>
      <c r="I15" s="565" t="e">
        <f t="shared" si="1"/>
        <v>#REF!</v>
      </c>
      <c r="J15" s="565" t="e">
        <f t="shared" si="2"/>
        <v>#REF!</v>
      </c>
      <c r="K15" s="566" t="e">
        <f t="shared" si="3"/>
        <v>#REF!</v>
      </c>
      <c r="L15" s="543"/>
    </row>
    <row r="16" spans="1:12" s="439" customFormat="1" ht="17.25" customHeight="1">
      <c r="A16" s="543"/>
      <c r="B16" s="552" t="s">
        <v>37</v>
      </c>
      <c r="C16" s="553" t="s">
        <v>39</v>
      </c>
      <c r="D16" s="554" t="s">
        <v>36</v>
      </c>
      <c r="E16" s="554">
        <v>240</v>
      </c>
      <c r="F16" s="555">
        <v>1.42</v>
      </c>
      <c r="G16" s="555">
        <f>ROUND(F16*(1+(insumos!E$37/100)),2)</f>
        <v>1.74</v>
      </c>
      <c r="H16" s="556">
        <f t="shared" si="0"/>
        <v>417.6</v>
      </c>
      <c r="I16" s="565" t="e">
        <f t="shared" si="1"/>
        <v>#REF!</v>
      </c>
      <c r="J16" s="565" t="e">
        <f t="shared" si="2"/>
        <v>#REF!</v>
      </c>
      <c r="K16" s="566" t="e">
        <f t="shared" si="3"/>
        <v>#REF!</v>
      </c>
      <c r="L16" s="543"/>
    </row>
    <row r="17" spans="1:12" s="439" customFormat="1" ht="28.5">
      <c r="A17" s="543"/>
      <c r="B17" s="552" t="s">
        <v>40</v>
      </c>
      <c r="C17" s="553" t="s">
        <v>42</v>
      </c>
      <c r="D17" s="557" t="s">
        <v>43</v>
      </c>
      <c r="E17" s="554">
        <v>3</v>
      </c>
      <c r="F17" s="555">
        <v>761.65</v>
      </c>
      <c r="G17" s="555">
        <f>ROUND(F17*(1+(insumos!E$37/100)),2)</f>
        <v>933.01</v>
      </c>
      <c r="H17" s="556">
        <f t="shared" si="0"/>
        <v>2799.03</v>
      </c>
      <c r="I17" s="565" t="e">
        <f t="shared" si="1"/>
        <v>#REF!</v>
      </c>
      <c r="J17" s="565" t="e">
        <f t="shared" si="2"/>
        <v>#REF!</v>
      </c>
      <c r="K17" s="566" t="e">
        <f t="shared" si="3"/>
        <v>#REF!</v>
      </c>
      <c r="L17" s="543"/>
    </row>
    <row r="18" spans="1:12" s="439" customFormat="1" ht="40.5" customHeight="1">
      <c r="A18" s="543"/>
      <c r="B18" s="552" t="s">
        <v>44</v>
      </c>
      <c r="C18" s="558" t="s">
        <v>46</v>
      </c>
      <c r="D18" s="557" t="s">
        <v>20</v>
      </c>
      <c r="E18" s="557">
        <v>180</v>
      </c>
      <c r="F18" s="555">
        <v>34.57</v>
      </c>
      <c r="G18" s="555">
        <f>ROUND(F18*(1+(insumos!E$37/100)),2)</f>
        <v>42.35</v>
      </c>
      <c r="H18" s="556">
        <f t="shared" si="0"/>
        <v>7623</v>
      </c>
      <c r="I18" s="565" t="e">
        <f t="shared" si="1"/>
        <v>#REF!</v>
      </c>
      <c r="J18" s="565" t="e">
        <f t="shared" si="2"/>
        <v>#REF!</v>
      </c>
      <c r="K18" s="566" t="e">
        <f t="shared" si="3"/>
        <v>#REF!</v>
      </c>
      <c r="L18" s="543"/>
    </row>
    <row r="19" spans="1:12" s="439" customFormat="1" ht="17.25" customHeight="1">
      <c r="A19" s="543"/>
      <c r="B19" s="552" t="s">
        <v>47</v>
      </c>
      <c r="C19" s="558" t="s">
        <v>49</v>
      </c>
      <c r="D19" s="557" t="s">
        <v>36</v>
      </c>
      <c r="E19" s="557">
        <v>180</v>
      </c>
      <c r="F19" s="555">
        <v>19.49</v>
      </c>
      <c r="G19" s="555">
        <f>ROUND(F19*(1+(insumos!E$37/100)),2)</f>
        <v>23.88</v>
      </c>
      <c r="H19" s="556">
        <f t="shared" si="0"/>
        <v>4298.4</v>
      </c>
      <c r="I19" s="565" t="e">
        <f t="shared" si="1"/>
        <v>#REF!</v>
      </c>
      <c r="J19" s="565" t="e">
        <f t="shared" si="2"/>
        <v>#REF!</v>
      </c>
      <c r="K19" s="566" t="e">
        <f t="shared" si="3"/>
        <v>#REF!</v>
      </c>
      <c r="L19" s="543"/>
    </row>
    <row r="20" spans="1:12" s="439" customFormat="1" ht="17.25" customHeight="1">
      <c r="A20" s="543"/>
      <c r="B20" s="552" t="s">
        <v>50</v>
      </c>
      <c r="C20" s="558" t="s">
        <v>49</v>
      </c>
      <c r="D20" s="557" t="s">
        <v>36</v>
      </c>
      <c r="E20" s="557">
        <v>180</v>
      </c>
      <c r="F20" s="555">
        <v>24.19</v>
      </c>
      <c r="G20" s="555">
        <f>ROUND(F20*(1+(insumos!E$37/100)),2)</f>
        <v>29.63</v>
      </c>
      <c r="H20" s="556">
        <f t="shared" si="0"/>
        <v>5333.4</v>
      </c>
      <c r="I20" s="565" t="e">
        <f t="shared" si="1"/>
        <v>#REF!</v>
      </c>
      <c r="J20" s="565" t="e">
        <f t="shared" si="2"/>
        <v>#REF!</v>
      </c>
      <c r="K20" s="566" t="e">
        <f t="shared" si="3"/>
        <v>#REF!</v>
      </c>
      <c r="L20" s="543"/>
    </row>
    <row r="21" spans="1:12" s="439" customFormat="1" ht="17.25" customHeight="1">
      <c r="A21" s="543"/>
      <c r="B21" s="552" t="s">
        <v>52</v>
      </c>
      <c r="C21" s="558" t="s">
        <v>54</v>
      </c>
      <c r="D21" s="557" t="s">
        <v>36</v>
      </c>
      <c r="E21" s="557">
        <v>100</v>
      </c>
      <c r="F21" s="555">
        <v>40.1</v>
      </c>
      <c r="G21" s="555">
        <f>ROUND(F21*(1+(insumos!E$37/100)),2)</f>
        <v>49.12</v>
      </c>
      <c r="H21" s="556">
        <f t="shared" si="0"/>
        <v>4912</v>
      </c>
      <c r="I21" s="565" t="e">
        <f t="shared" si="1"/>
        <v>#REF!</v>
      </c>
      <c r="J21" s="565" t="e">
        <f t="shared" si="2"/>
        <v>#REF!</v>
      </c>
      <c r="K21" s="566" t="e">
        <f t="shared" si="3"/>
        <v>#REF!</v>
      </c>
      <c r="L21" s="543"/>
    </row>
    <row r="22" spans="1:12" s="439" customFormat="1" ht="17.25" customHeight="1">
      <c r="A22" s="543"/>
      <c r="B22" s="552" t="s">
        <v>55</v>
      </c>
      <c r="C22" s="558" t="s">
        <v>57</v>
      </c>
      <c r="D22" s="557" t="s">
        <v>36</v>
      </c>
      <c r="E22" s="557">
        <v>50</v>
      </c>
      <c r="F22" s="555">
        <v>57.17</v>
      </c>
      <c r="G22" s="555">
        <f>ROUND(F22*(1+(insumos!E$37/100)),2)</f>
        <v>70.03</v>
      </c>
      <c r="H22" s="556">
        <f t="shared" si="0"/>
        <v>3501.5</v>
      </c>
      <c r="I22" s="565" t="e">
        <f t="shared" si="1"/>
        <v>#REF!</v>
      </c>
      <c r="J22" s="565" t="e">
        <f t="shared" si="2"/>
        <v>#REF!</v>
      </c>
      <c r="K22" s="566" t="e">
        <f t="shared" si="3"/>
        <v>#REF!</v>
      </c>
      <c r="L22" s="543"/>
    </row>
    <row r="23" spans="1:12" s="439" customFormat="1" ht="17.25" customHeight="1">
      <c r="A23" s="543"/>
      <c r="B23" s="552" t="s">
        <v>58</v>
      </c>
      <c r="C23" s="558" t="s">
        <v>60</v>
      </c>
      <c r="D23" s="557" t="s">
        <v>36</v>
      </c>
      <c r="E23" s="557">
        <v>30</v>
      </c>
      <c r="F23" s="555">
        <v>94.1</v>
      </c>
      <c r="G23" s="555">
        <f>ROUND(F23*(1+(insumos!E$37/100)),2)</f>
        <v>115.27</v>
      </c>
      <c r="H23" s="556">
        <f t="shared" si="0"/>
        <v>3458.1</v>
      </c>
      <c r="I23" s="565" t="e">
        <f t="shared" si="1"/>
        <v>#REF!</v>
      </c>
      <c r="J23" s="565" t="e">
        <f t="shared" si="2"/>
        <v>#REF!</v>
      </c>
      <c r="K23" s="566" t="e">
        <f t="shared" si="3"/>
        <v>#REF!</v>
      </c>
      <c r="L23" s="543"/>
    </row>
    <row r="24" spans="1:12" s="439" customFormat="1" ht="17.25" customHeight="1">
      <c r="A24" s="543"/>
      <c r="B24" s="559" t="s">
        <v>250</v>
      </c>
      <c r="C24" s="559"/>
      <c r="D24" s="559"/>
      <c r="E24" s="559"/>
      <c r="F24" s="559"/>
      <c r="G24" s="559"/>
      <c r="H24" s="560">
        <f>SUM(H8:H23)</f>
        <v>55177.53</v>
      </c>
      <c r="I24" s="567" t="e">
        <f>ROUND(H24/H$92*I$92,2)</f>
        <v>#REF!</v>
      </c>
      <c r="J24" s="568"/>
      <c r="K24" s="568"/>
      <c r="L24" s="543"/>
    </row>
    <row r="25" spans="1:12" s="439" customFormat="1" ht="17.25" customHeight="1">
      <c r="A25" s="543"/>
      <c r="B25" s="551" t="s">
        <v>251</v>
      </c>
      <c r="C25" s="551"/>
      <c r="D25" s="551"/>
      <c r="E25" s="551"/>
      <c r="F25" s="551"/>
      <c r="G25" s="551"/>
      <c r="H25" s="551"/>
      <c r="I25" s="551"/>
      <c r="J25" s="551"/>
      <c r="K25" s="551"/>
      <c r="L25" s="543"/>
    </row>
    <row r="26" spans="1:12" s="439" customFormat="1" ht="42.75">
      <c r="A26" s="543"/>
      <c r="B26" s="552" t="s">
        <v>63</v>
      </c>
      <c r="C26" s="553" t="s">
        <v>65</v>
      </c>
      <c r="D26" s="554" t="s">
        <v>36</v>
      </c>
      <c r="E26" s="554">
        <v>60</v>
      </c>
      <c r="F26" s="555">
        <v>8.59</v>
      </c>
      <c r="G26" s="555">
        <f>ROUND(F26*(1+(insumos!E$37/100)),2)</f>
        <v>10.52</v>
      </c>
      <c r="H26" s="556">
        <f aca="true" t="shared" si="4" ref="H26:H29">ROUND(G26*E26,2)</f>
        <v>631.2</v>
      </c>
      <c r="I26" s="565" t="e">
        <f>ROUND(H26/H$30*I$30,2)</f>
        <v>#REF!</v>
      </c>
      <c r="J26" s="565" t="e">
        <f aca="true" t="shared" si="5" ref="J26:J29">ROUND(I26/E26,2)</f>
        <v>#REF!</v>
      </c>
      <c r="K26" s="566" t="e">
        <f aca="true" t="shared" si="6" ref="K26:K29">G26+J26</f>
        <v>#REF!</v>
      </c>
      <c r="L26" s="543"/>
    </row>
    <row r="27" spans="1:12" s="439" customFormat="1" ht="17.25" customHeight="1">
      <c r="A27" s="543"/>
      <c r="B27" s="552" t="s">
        <v>66</v>
      </c>
      <c r="C27" s="553" t="s">
        <v>68</v>
      </c>
      <c r="D27" s="557" t="s">
        <v>43</v>
      </c>
      <c r="E27" s="554">
        <v>18</v>
      </c>
      <c r="F27" s="555">
        <v>290</v>
      </c>
      <c r="G27" s="555">
        <f>ROUND(F27*(1+(insumos!E$37/100)),2)</f>
        <v>355.25</v>
      </c>
      <c r="H27" s="556">
        <f t="shared" si="4"/>
        <v>6394.5</v>
      </c>
      <c r="I27" s="565" t="e">
        <f aca="true" t="shared" si="7" ref="I27:I30">ROUND(H27/H$92*I$92,2)</f>
        <v>#REF!</v>
      </c>
      <c r="J27" s="565" t="e">
        <f t="shared" si="5"/>
        <v>#REF!</v>
      </c>
      <c r="K27" s="566" t="e">
        <f t="shared" si="6"/>
        <v>#REF!</v>
      </c>
      <c r="L27" s="543"/>
    </row>
    <row r="28" spans="1:12" s="439" customFormat="1" ht="17.25" customHeight="1">
      <c r="A28" s="543"/>
      <c r="B28" s="552" t="s">
        <v>69</v>
      </c>
      <c r="C28" s="553" t="s">
        <v>71</v>
      </c>
      <c r="D28" s="557" t="s">
        <v>43</v>
      </c>
      <c r="E28" s="554">
        <v>9</v>
      </c>
      <c r="F28" s="555">
        <v>33.34</v>
      </c>
      <c r="G28" s="555">
        <f>ROUND(F28*(1+(insumos!E$37/100)),2)</f>
        <v>40.84</v>
      </c>
      <c r="H28" s="556">
        <f t="shared" si="4"/>
        <v>367.56</v>
      </c>
      <c r="I28" s="565" t="e">
        <f t="shared" si="7"/>
        <v>#REF!</v>
      </c>
      <c r="J28" s="565" t="e">
        <f t="shared" si="5"/>
        <v>#REF!</v>
      </c>
      <c r="K28" s="566" t="e">
        <f t="shared" si="6"/>
        <v>#REF!</v>
      </c>
      <c r="L28" s="543"/>
    </row>
    <row r="29" spans="1:12" s="439" customFormat="1" ht="17.25" customHeight="1">
      <c r="A29" s="543"/>
      <c r="B29" s="552" t="s">
        <v>72</v>
      </c>
      <c r="C29" s="553" t="s">
        <v>74</v>
      </c>
      <c r="D29" s="554" t="s">
        <v>13</v>
      </c>
      <c r="E29" s="554">
        <v>24</v>
      </c>
      <c r="F29" s="555">
        <v>160.78</v>
      </c>
      <c r="G29" s="555">
        <f>ROUND(F29*(1+(insumos!E$37/100)),2)</f>
        <v>196.95</v>
      </c>
      <c r="H29" s="556">
        <f t="shared" si="4"/>
        <v>4726.8</v>
      </c>
      <c r="I29" s="565" t="e">
        <f t="shared" si="7"/>
        <v>#REF!</v>
      </c>
      <c r="J29" s="565" t="e">
        <f t="shared" si="5"/>
        <v>#REF!</v>
      </c>
      <c r="K29" s="566" t="e">
        <f t="shared" si="6"/>
        <v>#REF!</v>
      </c>
      <c r="L29" s="543"/>
    </row>
    <row r="30" spans="1:12" s="439" customFormat="1" ht="17.25" customHeight="1">
      <c r="A30" s="543"/>
      <c r="B30" s="559" t="s">
        <v>252</v>
      </c>
      <c r="C30" s="559"/>
      <c r="D30" s="559"/>
      <c r="E30" s="559"/>
      <c r="F30" s="559"/>
      <c r="G30" s="559"/>
      <c r="H30" s="560">
        <f>SUM(H26:H29)</f>
        <v>12120.060000000001</v>
      </c>
      <c r="I30" s="567" t="e">
        <f t="shared" si="7"/>
        <v>#REF!</v>
      </c>
      <c r="J30" s="568"/>
      <c r="K30" s="568"/>
      <c r="L30" s="543"/>
    </row>
    <row r="31" spans="1:12" s="439" customFormat="1" ht="17.25" customHeight="1">
      <c r="A31" s="543"/>
      <c r="B31" s="551" t="s">
        <v>253</v>
      </c>
      <c r="C31" s="551"/>
      <c r="D31" s="551"/>
      <c r="E31" s="551"/>
      <c r="F31" s="551"/>
      <c r="G31" s="551"/>
      <c r="H31" s="551"/>
      <c r="I31" s="551"/>
      <c r="J31" s="551"/>
      <c r="K31" s="551"/>
      <c r="L31" s="543"/>
    </row>
    <row r="32" spans="1:12" s="439" customFormat="1" ht="17.25" customHeight="1">
      <c r="A32" s="543"/>
      <c r="B32" s="552" t="s">
        <v>77</v>
      </c>
      <c r="C32" s="553" t="s">
        <v>79</v>
      </c>
      <c r="D32" s="554" t="s">
        <v>20</v>
      </c>
      <c r="E32" s="554">
        <v>90</v>
      </c>
      <c r="F32" s="555">
        <v>14.23</v>
      </c>
      <c r="G32" s="555">
        <f>ROUND(F32*(1+(insumos!E$37/100)),2)</f>
        <v>17.43</v>
      </c>
      <c r="H32" s="556">
        <f aca="true" t="shared" si="8" ref="H32:H40">ROUND(G32*E32,2)</f>
        <v>1568.7</v>
      </c>
      <c r="I32" s="565" t="e">
        <f aca="true" t="shared" si="9" ref="I32:I40">ROUND(H32/H$41*I$41,2)</f>
        <v>#REF!</v>
      </c>
      <c r="J32" s="565" t="e">
        <f aca="true" t="shared" si="10" ref="J32:J40">ROUND(I32/E32,2)</f>
        <v>#REF!</v>
      </c>
      <c r="K32" s="566" t="e">
        <f aca="true" t="shared" si="11" ref="K32:K40">G32+J32</f>
        <v>#REF!</v>
      </c>
      <c r="L32" s="543"/>
    </row>
    <row r="33" spans="1:12" s="439" customFormat="1" ht="17.25" customHeight="1">
      <c r="A33" s="543"/>
      <c r="B33" s="552" t="s">
        <v>80</v>
      </c>
      <c r="C33" s="553" t="s">
        <v>82</v>
      </c>
      <c r="D33" s="554" t="s">
        <v>20</v>
      </c>
      <c r="E33" s="554">
        <v>280</v>
      </c>
      <c r="F33" s="555">
        <v>5.53</v>
      </c>
      <c r="G33" s="555">
        <f>ROUND(F33*(1+(insumos!E$37/100)),2)</f>
        <v>6.77</v>
      </c>
      <c r="H33" s="556">
        <f t="shared" si="8"/>
        <v>1895.6</v>
      </c>
      <c r="I33" s="565" t="e">
        <f t="shared" si="9"/>
        <v>#REF!</v>
      </c>
      <c r="J33" s="565" t="e">
        <f t="shared" si="10"/>
        <v>#REF!</v>
      </c>
      <c r="K33" s="566" t="e">
        <f t="shared" si="11"/>
        <v>#REF!</v>
      </c>
      <c r="L33" s="543"/>
    </row>
    <row r="34" spans="1:12" s="439" customFormat="1" ht="17.25" customHeight="1">
      <c r="A34" s="543"/>
      <c r="B34" s="552" t="s">
        <v>83</v>
      </c>
      <c r="C34" s="553" t="s">
        <v>85</v>
      </c>
      <c r="D34" s="554" t="s">
        <v>20</v>
      </c>
      <c r="E34" s="554">
        <v>480</v>
      </c>
      <c r="F34" s="555">
        <v>14.23</v>
      </c>
      <c r="G34" s="555">
        <f>ROUND(F34*(1+(insumos!E$37/100)),2)</f>
        <v>17.43</v>
      </c>
      <c r="H34" s="556">
        <f t="shared" si="8"/>
        <v>8366.4</v>
      </c>
      <c r="I34" s="565" t="e">
        <f t="shared" si="9"/>
        <v>#REF!</v>
      </c>
      <c r="J34" s="565" t="e">
        <f t="shared" si="10"/>
        <v>#REF!</v>
      </c>
      <c r="K34" s="566" t="e">
        <f t="shared" si="11"/>
        <v>#REF!</v>
      </c>
      <c r="L34" s="543"/>
    </row>
    <row r="35" spans="1:12" s="439" customFormat="1" ht="28.5">
      <c r="A35" s="543"/>
      <c r="B35" s="552" t="s">
        <v>86</v>
      </c>
      <c r="C35" s="553" t="s">
        <v>88</v>
      </c>
      <c r="D35" s="554" t="s">
        <v>20</v>
      </c>
      <c r="E35" s="554">
        <v>480</v>
      </c>
      <c r="F35" s="555">
        <v>2.62</v>
      </c>
      <c r="G35" s="555">
        <f>ROUND(F35*(1+(insumos!E$37/100)),2)</f>
        <v>3.21</v>
      </c>
      <c r="H35" s="556">
        <f t="shared" si="8"/>
        <v>1540.8</v>
      </c>
      <c r="I35" s="565" t="e">
        <f t="shared" si="9"/>
        <v>#REF!</v>
      </c>
      <c r="J35" s="565" t="e">
        <f t="shared" si="10"/>
        <v>#REF!</v>
      </c>
      <c r="K35" s="566" t="e">
        <f t="shared" si="11"/>
        <v>#REF!</v>
      </c>
      <c r="L35" s="543"/>
    </row>
    <row r="36" spans="1:12" s="439" customFormat="1" ht="17.25" customHeight="1">
      <c r="A36" s="543"/>
      <c r="B36" s="552" t="s">
        <v>89</v>
      </c>
      <c r="C36" s="553" t="s">
        <v>91</v>
      </c>
      <c r="D36" s="554" t="s">
        <v>20</v>
      </c>
      <c r="E36" s="554">
        <v>300</v>
      </c>
      <c r="F36" s="555">
        <v>28.56</v>
      </c>
      <c r="G36" s="555">
        <f>ROUND(F36*(1+(insumos!E$37/100)),2)</f>
        <v>34.99</v>
      </c>
      <c r="H36" s="556">
        <f t="shared" si="8"/>
        <v>10497</v>
      </c>
      <c r="I36" s="565" t="e">
        <f t="shared" si="9"/>
        <v>#REF!</v>
      </c>
      <c r="J36" s="565" t="e">
        <f t="shared" si="10"/>
        <v>#REF!</v>
      </c>
      <c r="K36" s="566" t="e">
        <f t="shared" si="11"/>
        <v>#REF!</v>
      </c>
      <c r="L36" s="543"/>
    </row>
    <row r="37" spans="1:12" s="439" customFormat="1" ht="17.25" customHeight="1">
      <c r="A37" s="543"/>
      <c r="B37" s="552" t="s">
        <v>92</v>
      </c>
      <c r="C37" s="558" t="s">
        <v>94</v>
      </c>
      <c r="D37" s="557" t="s">
        <v>20</v>
      </c>
      <c r="E37" s="557">
        <v>950</v>
      </c>
      <c r="F37" s="555">
        <v>33.98</v>
      </c>
      <c r="G37" s="555">
        <f>ROUND(F37*(1+(insumos!E$37/100)),2)</f>
        <v>41.63</v>
      </c>
      <c r="H37" s="556">
        <f t="shared" si="8"/>
        <v>39548.5</v>
      </c>
      <c r="I37" s="565" t="e">
        <f t="shared" si="9"/>
        <v>#REF!</v>
      </c>
      <c r="J37" s="565" t="e">
        <f t="shared" si="10"/>
        <v>#REF!</v>
      </c>
      <c r="K37" s="566" t="e">
        <f t="shared" si="11"/>
        <v>#REF!</v>
      </c>
      <c r="L37" s="543"/>
    </row>
    <row r="38" spans="1:12" s="439" customFormat="1" ht="17.25" customHeight="1">
      <c r="A38" s="543"/>
      <c r="B38" s="552" t="s">
        <v>95</v>
      </c>
      <c r="C38" s="558" t="s">
        <v>97</v>
      </c>
      <c r="D38" s="557" t="s">
        <v>20</v>
      </c>
      <c r="E38" s="557">
        <v>30</v>
      </c>
      <c r="F38" s="555">
        <v>38.42</v>
      </c>
      <c r="G38" s="555">
        <f>ROUND(F38*(1+(insumos!E$37/100)),2)</f>
        <v>47.06</v>
      </c>
      <c r="H38" s="556">
        <f t="shared" si="8"/>
        <v>1411.8</v>
      </c>
      <c r="I38" s="565" t="e">
        <f t="shared" si="9"/>
        <v>#REF!</v>
      </c>
      <c r="J38" s="565" t="e">
        <f t="shared" si="10"/>
        <v>#REF!</v>
      </c>
      <c r="K38" s="566" t="e">
        <f t="shared" si="11"/>
        <v>#REF!</v>
      </c>
      <c r="L38" s="543"/>
    </row>
    <row r="39" spans="1:12" s="439" customFormat="1" ht="17.25" customHeight="1">
      <c r="A39" s="543"/>
      <c r="B39" s="552" t="s">
        <v>98</v>
      </c>
      <c r="C39" s="558" t="s">
        <v>100</v>
      </c>
      <c r="D39" s="557" t="s">
        <v>20</v>
      </c>
      <c r="E39" s="557">
        <v>60</v>
      </c>
      <c r="F39" s="555">
        <v>43.42</v>
      </c>
      <c r="G39" s="555">
        <f>ROUND(F39*(1+(insumos!E$37/100)),2)</f>
        <v>53.19</v>
      </c>
      <c r="H39" s="556">
        <f t="shared" si="8"/>
        <v>3191.4</v>
      </c>
      <c r="I39" s="565" t="e">
        <f t="shared" si="9"/>
        <v>#REF!</v>
      </c>
      <c r="J39" s="565" t="e">
        <f t="shared" si="10"/>
        <v>#REF!</v>
      </c>
      <c r="K39" s="566" t="e">
        <f t="shared" si="11"/>
        <v>#REF!</v>
      </c>
      <c r="L39" s="543"/>
    </row>
    <row r="40" spans="1:12" s="439" customFormat="1" ht="28.5">
      <c r="A40" s="543"/>
      <c r="B40" s="552" t="s">
        <v>101</v>
      </c>
      <c r="C40" s="558" t="s">
        <v>103</v>
      </c>
      <c r="D40" s="557" t="s">
        <v>20</v>
      </c>
      <c r="E40" s="557">
        <v>90</v>
      </c>
      <c r="F40" s="555">
        <v>71.6</v>
      </c>
      <c r="G40" s="555">
        <f>ROUND(F40*(1+(insumos!E$37/100)),2)</f>
        <v>87.71</v>
      </c>
      <c r="H40" s="556">
        <f t="shared" si="8"/>
        <v>7893.9</v>
      </c>
      <c r="I40" s="565" t="e">
        <f t="shared" si="9"/>
        <v>#REF!</v>
      </c>
      <c r="J40" s="565" t="e">
        <f t="shared" si="10"/>
        <v>#REF!</v>
      </c>
      <c r="K40" s="566" t="e">
        <f t="shared" si="11"/>
        <v>#REF!</v>
      </c>
      <c r="L40" s="543"/>
    </row>
    <row r="41" spans="1:12" s="439" customFormat="1" ht="17.25" customHeight="1">
      <c r="A41" s="543"/>
      <c r="B41" s="559" t="s">
        <v>254</v>
      </c>
      <c r="C41" s="559"/>
      <c r="D41" s="559"/>
      <c r="E41" s="559"/>
      <c r="F41" s="559"/>
      <c r="G41" s="559"/>
      <c r="H41" s="560">
        <f>SUM(H32:H40)</f>
        <v>75914.09999999999</v>
      </c>
      <c r="I41" s="567" t="e">
        <f>ROUND(H41/H$92*I$92,2)</f>
        <v>#REF!</v>
      </c>
      <c r="J41" s="568"/>
      <c r="K41" s="568"/>
      <c r="L41" s="543"/>
    </row>
    <row r="42" spans="1:12" s="439" customFormat="1" ht="17.25" customHeight="1">
      <c r="A42" s="543"/>
      <c r="B42" s="551" t="s">
        <v>255</v>
      </c>
      <c r="C42" s="551"/>
      <c r="D42" s="551"/>
      <c r="E42" s="551"/>
      <c r="F42" s="551"/>
      <c r="G42" s="551"/>
      <c r="H42" s="551"/>
      <c r="I42" s="551"/>
      <c r="J42" s="551"/>
      <c r="K42" s="551"/>
      <c r="L42" s="543"/>
    </row>
    <row r="43" spans="1:12" s="439" customFormat="1" ht="22.5" customHeight="1">
      <c r="A43" s="543"/>
      <c r="B43" s="552" t="s">
        <v>106</v>
      </c>
      <c r="C43" s="553" t="s">
        <v>108</v>
      </c>
      <c r="D43" s="554" t="s">
        <v>20</v>
      </c>
      <c r="E43" s="554">
        <v>90</v>
      </c>
      <c r="F43" s="561">
        <v>270.54</v>
      </c>
      <c r="G43" s="555">
        <f>ROUND(F43*(1+(insumos!E$37/100)),2)</f>
        <v>331.41</v>
      </c>
      <c r="H43" s="556">
        <f aca="true" t="shared" si="12" ref="H43:H48">ROUND(G43*E43,2)</f>
        <v>29826.9</v>
      </c>
      <c r="I43" s="565" t="e">
        <f aca="true" t="shared" si="13" ref="I43:I48">ROUND(H43/H$49*I$49,2)</f>
        <v>#REF!</v>
      </c>
      <c r="J43" s="565" t="e">
        <f aca="true" t="shared" si="14" ref="J43:J48">ROUND(I43/E43,2)</f>
        <v>#REF!</v>
      </c>
      <c r="K43" s="566" t="e">
        <f aca="true" t="shared" si="15" ref="K43:K48">G43+J43</f>
        <v>#REF!</v>
      </c>
      <c r="L43" s="543"/>
    </row>
    <row r="44" spans="1:12" s="439" customFormat="1" ht="28.5">
      <c r="A44" s="543"/>
      <c r="B44" s="552" t="s">
        <v>109</v>
      </c>
      <c r="C44" s="553" t="s">
        <v>111</v>
      </c>
      <c r="D44" s="554" t="s">
        <v>20</v>
      </c>
      <c r="E44" s="554">
        <v>90</v>
      </c>
      <c r="F44" s="561">
        <v>1697.11</v>
      </c>
      <c r="G44" s="555">
        <f>ROUND(F44*(1+(insumos!E$37/100)),2)</f>
        <v>2078.94</v>
      </c>
      <c r="H44" s="556">
        <f t="shared" si="12"/>
        <v>187104.6</v>
      </c>
      <c r="I44" s="565" t="e">
        <f t="shared" si="13"/>
        <v>#REF!</v>
      </c>
      <c r="J44" s="565" t="e">
        <f t="shared" si="14"/>
        <v>#REF!</v>
      </c>
      <c r="K44" s="566" t="e">
        <f t="shared" si="15"/>
        <v>#REF!</v>
      </c>
      <c r="L44" s="543"/>
    </row>
    <row r="45" spans="1:12" s="439" customFormat="1" ht="28.5">
      <c r="A45" s="543"/>
      <c r="B45" s="552" t="s">
        <v>112</v>
      </c>
      <c r="C45" s="553" t="s">
        <v>114</v>
      </c>
      <c r="D45" s="554" t="s">
        <v>13</v>
      </c>
      <c r="E45" s="554">
        <v>90</v>
      </c>
      <c r="F45" s="561">
        <v>44.22</v>
      </c>
      <c r="G45" s="555">
        <f>ROUND(F45*(1+(insumos!E$37/100)),2)</f>
        <v>54.17</v>
      </c>
      <c r="H45" s="556">
        <f t="shared" si="12"/>
        <v>4875.3</v>
      </c>
      <c r="I45" s="565" t="e">
        <f t="shared" si="13"/>
        <v>#REF!</v>
      </c>
      <c r="J45" s="565" t="e">
        <f t="shared" si="14"/>
        <v>#REF!</v>
      </c>
      <c r="K45" s="566" t="e">
        <f t="shared" si="15"/>
        <v>#REF!</v>
      </c>
      <c r="L45" s="543"/>
    </row>
    <row r="46" spans="1:12" s="439" customFormat="1" ht="17.25" customHeight="1">
      <c r="A46" s="543"/>
      <c r="B46" s="552" t="s">
        <v>115</v>
      </c>
      <c r="C46" s="553" t="s">
        <v>117</v>
      </c>
      <c r="D46" s="554" t="s">
        <v>13</v>
      </c>
      <c r="E46" s="554">
        <v>90</v>
      </c>
      <c r="F46" s="561">
        <v>80.53</v>
      </c>
      <c r="G46" s="555">
        <f>ROUND(F46*(1+(insumos!E$37/100)),2)</f>
        <v>98.65</v>
      </c>
      <c r="H46" s="556">
        <f t="shared" si="12"/>
        <v>8878.5</v>
      </c>
      <c r="I46" s="565" t="e">
        <f t="shared" si="13"/>
        <v>#REF!</v>
      </c>
      <c r="J46" s="565" t="e">
        <f t="shared" si="14"/>
        <v>#REF!</v>
      </c>
      <c r="K46" s="566" t="e">
        <f t="shared" si="15"/>
        <v>#REF!</v>
      </c>
      <c r="L46" s="543"/>
    </row>
    <row r="47" spans="1:12" s="439" customFormat="1" ht="17.25" customHeight="1">
      <c r="A47" s="543"/>
      <c r="B47" s="552" t="s">
        <v>118</v>
      </c>
      <c r="C47" s="553" t="s">
        <v>120</v>
      </c>
      <c r="D47" s="554" t="s">
        <v>13</v>
      </c>
      <c r="E47" s="554">
        <v>180</v>
      </c>
      <c r="F47" s="561">
        <v>4.51</v>
      </c>
      <c r="G47" s="555">
        <f>ROUND(F47*(1+(insumos!E$37/100)),2)</f>
        <v>5.52</v>
      </c>
      <c r="H47" s="556">
        <f t="shared" si="12"/>
        <v>993.6</v>
      </c>
      <c r="I47" s="565" t="e">
        <f t="shared" si="13"/>
        <v>#REF!</v>
      </c>
      <c r="J47" s="565" t="e">
        <f t="shared" si="14"/>
        <v>#REF!</v>
      </c>
      <c r="K47" s="566" t="e">
        <f t="shared" si="15"/>
        <v>#REF!</v>
      </c>
      <c r="L47" s="543"/>
    </row>
    <row r="48" spans="1:12" s="439" customFormat="1" ht="17.25" customHeight="1">
      <c r="A48" s="543"/>
      <c r="B48" s="552" t="s">
        <v>121</v>
      </c>
      <c r="C48" s="553" t="s">
        <v>123</v>
      </c>
      <c r="D48" s="554" t="s">
        <v>13</v>
      </c>
      <c r="E48" s="554">
        <v>180</v>
      </c>
      <c r="F48" s="561">
        <v>19.25</v>
      </c>
      <c r="G48" s="555">
        <f>ROUND(F48*(1+(insumos!E$37/100)),2)</f>
        <v>23.58</v>
      </c>
      <c r="H48" s="556">
        <f t="shared" si="12"/>
        <v>4244.4</v>
      </c>
      <c r="I48" s="565" t="e">
        <f t="shared" si="13"/>
        <v>#REF!</v>
      </c>
      <c r="J48" s="565" t="e">
        <f t="shared" si="14"/>
        <v>#REF!</v>
      </c>
      <c r="K48" s="566" t="e">
        <f t="shared" si="15"/>
        <v>#REF!</v>
      </c>
      <c r="L48" s="543"/>
    </row>
    <row r="49" spans="1:12" s="439" customFormat="1" ht="17.25" customHeight="1">
      <c r="A49" s="543"/>
      <c r="B49" s="559" t="s">
        <v>256</v>
      </c>
      <c r="C49" s="559"/>
      <c r="D49" s="559"/>
      <c r="E49" s="559"/>
      <c r="F49" s="559"/>
      <c r="G49" s="559"/>
      <c r="H49" s="560">
        <f>SUM(H43:H48)</f>
        <v>235923.3</v>
      </c>
      <c r="I49" s="567" t="e">
        <f>ROUND(H49/H$92*I$92,2)</f>
        <v>#REF!</v>
      </c>
      <c r="J49" s="568"/>
      <c r="K49" s="568"/>
      <c r="L49" s="543"/>
    </row>
    <row r="50" spans="1:12" s="439" customFormat="1" ht="17.25" customHeight="1">
      <c r="A50" s="543"/>
      <c r="B50" s="551" t="s">
        <v>257</v>
      </c>
      <c r="C50" s="551"/>
      <c r="D50" s="551"/>
      <c r="E50" s="551"/>
      <c r="F50" s="551"/>
      <c r="G50" s="551"/>
      <c r="H50" s="551"/>
      <c r="I50" s="551"/>
      <c r="J50" s="551"/>
      <c r="K50" s="551"/>
      <c r="L50" s="543"/>
    </row>
    <row r="51" spans="1:12" s="439" customFormat="1" ht="17.25" customHeight="1">
      <c r="A51" s="543"/>
      <c r="B51" s="552" t="s">
        <v>126</v>
      </c>
      <c r="C51" s="553" t="s">
        <v>128</v>
      </c>
      <c r="D51" s="554" t="s">
        <v>13</v>
      </c>
      <c r="E51" s="554">
        <v>320</v>
      </c>
      <c r="F51" s="561">
        <v>21.05</v>
      </c>
      <c r="G51" s="555">
        <f>ROUND(F51*(1+(insumos!E$37/100)),2)</f>
        <v>25.79</v>
      </c>
      <c r="H51" s="556">
        <f aca="true" t="shared" si="16" ref="H51:H59">ROUND(G51*E51,2)</f>
        <v>8252.8</v>
      </c>
      <c r="I51" s="565" t="e">
        <f aca="true" t="shared" si="17" ref="I51:I59">ROUND(H51/H$60*I$60,2)</f>
        <v>#REF!</v>
      </c>
      <c r="J51" s="565" t="e">
        <f aca="true" t="shared" si="18" ref="J51:J59">ROUND(I51/E51,2)</f>
        <v>#REF!</v>
      </c>
      <c r="K51" s="566" t="e">
        <f aca="true" t="shared" si="19" ref="K51:K59">G51+J51</f>
        <v>#REF!</v>
      </c>
      <c r="L51" s="543"/>
    </row>
    <row r="52" spans="1:12" s="439" customFormat="1" ht="42.75">
      <c r="A52" s="543"/>
      <c r="B52" s="552" t="s">
        <v>129</v>
      </c>
      <c r="C52" s="553" t="s">
        <v>131</v>
      </c>
      <c r="D52" s="554" t="s">
        <v>13</v>
      </c>
      <c r="E52" s="554">
        <v>120</v>
      </c>
      <c r="F52" s="561">
        <v>37.64</v>
      </c>
      <c r="G52" s="555">
        <f>ROUND(F52*(1+(insumos!E$37/100)),2)</f>
        <v>46.11</v>
      </c>
      <c r="H52" s="556">
        <f t="shared" si="16"/>
        <v>5533.2</v>
      </c>
      <c r="I52" s="565" t="e">
        <f t="shared" si="17"/>
        <v>#REF!</v>
      </c>
      <c r="J52" s="565" t="e">
        <f t="shared" si="18"/>
        <v>#REF!</v>
      </c>
      <c r="K52" s="566" t="e">
        <f t="shared" si="19"/>
        <v>#REF!</v>
      </c>
      <c r="L52" s="543"/>
    </row>
    <row r="53" spans="1:12" s="439" customFormat="1" ht="17.25" customHeight="1">
      <c r="A53" s="543"/>
      <c r="B53" s="552" t="s">
        <v>132</v>
      </c>
      <c r="C53" s="553" t="s">
        <v>134</v>
      </c>
      <c r="D53" s="554" t="s">
        <v>36</v>
      </c>
      <c r="E53" s="554">
        <v>320</v>
      </c>
      <c r="F53" s="561">
        <v>6.75</v>
      </c>
      <c r="G53" s="555">
        <f>ROUND(F53*(1+(insumos!E$37/100)),2)</f>
        <v>8.27</v>
      </c>
      <c r="H53" s="556">
        <f t="shared" si="16"/>
        <v>2646.4</v>
      </c>
      <c r="I53" s="565" t="e">
        <f t="shared" si="17"/>
        <v>#REF!</v>
      </c>
      <c r="J53" s="565" t="e">
        <f t="shared" si="18"/>
        <v>#REF!</v>
      </c>
      <c r="K53" s="566" t="e">
        <f t="shared" si="19"/>
        <v>#REF!</v>
      </c>
      <c r="L53" s="543"/>
    </row>
    <row r="54" spans="1:12" s="439" customFormat="1" ht="42.75">
      <c r="A54" s="543"/>
      <c r="B54" s="552" t="s">
        <v>135</v>
      </c>
      <c r="C54" s="553" t="s">
        <v>137</v>
      </c>
      <c r="D54" s="554" t="s">
        <v>36</v>
      </c>
      <c r="E54" s="554">
        <v>320</v>
      </c>
      <c r="F54" s="561">
        <v>14.91</v>
      </c>
      <c r="G54" s="555">
        <f>ROUND(F54*(1+(insumos!E$37/100)),2)</f>
        <v>18.26</v>
      </c>
      <c r="H54" s="556">
        <f t="shared" si="16"/>
        <v>5843.2</v>
      </c>
      <c r="I54" s="565" t="e">
        <f t="shared" si="17"/>
        <v>#REF!</v>
      </c>
      <c r="J54" s="565" t="e">
        <f t="shared" si="18"/>
        <v>#REF!</v>
      </c>
      <c r="K54" s="566" t="e">
        <f t="shared" si="19"/>
        <v>#REF!</v>
      </c>
      <c r="L54" s="543"/>
    </row>
    <row r="55" spans="1:12" s="439" customFormat="1" ht="17.25" customHeight="1">
      <c r="A55" s="543"/>
      <c r="B55" s="552" t="s">
        <v>138</v>
      </c>
      <c r="C55" s="558" t="s">
        <v>140</v>
      </c>
      <c r="D55" s="557" t="s">
        <v>20</v>
      </c>
      <c r="E55" s="557">
        <v>70</v>
      </c>
      <c r="F55" s="561">
        <v>354</v>
      </c>
      <c r="G55" s="555">
        <f>ROUND(F55*(1+(insumos!E$37/100)),2)</f>
        <v>433.65</v>
      </c>
      <c r="H55" s="556">
        <f t="shared" si="16"/>
        <v>30355.5</v>
      </c>
      <c r="I55" s="565" t="e">
        <f t="shared" si="17"/>
        <v>#REF!</v>
      </c>
      <c r="J55" s="565" t="e">
        <f t="shared" si="18"/>
        <v>#REF!</v>
      </c>
      <c r="K55" s="566" t="e">
        <f t="shared" si="19"/>
        <v>#REF!</v>
      </c>
      <c r="L55" s="543"/>
    </row>
    <row r="56" spans="1:12" s="439" customFormat="1" ht="28.5">
      <c r="A56" s="543"/>
      <c r="B56" s="552" t="s">
        <v>141</v>
      </c>
      <c r="C56" s="558" t="s">
        <v>143</v>
      </c>
      <c r="D56" s="557" t="s">
        <v>20</v>
      </c>
      <c r="E56" s="557">
        <v>70</v>
      </c>
      <c r="F56" s="561">
        <v>80.79</v>
      </c>
      <c r="G56" s="555">
        <f>ROUND(F56*(1+(insumos!E$37/100)),2)</f>
        <v>98.97</v>
      </c>
      <c r="H56" s="556">
        <f t="shared" si="16"/>
        <v>6927.9</v>
      </c>
      <c r="I56" s="565" t="e">
        <f t="shared" si="17"/>
        <v>#REF!</v>
      </c>
      <c r="J56" s="565" t="e">
        <f t="shared" si="18"/>
        <v>#REF!</v>
      </c>
      <c r="K56" s="566" t="e">
        <f t="shared" si="19"/>
        <v>#REF!</v>
      </c>
      <c r="L56" s="543"/>
    </row>
    <row r="57" spans="1:12" s="439" customFormat="1" ht="17.25" customHeight="1">
      <c r="A57" s="543"/>
      <c r="B57" s="552" t="s">
        <v>144</v>
      </c>
      <c r="C57" s="558" t="s">
        <v>146</v>
      </c>
      <c r="D57" s="557" t="s">
        <v>20</v>
      </c>
      <c r="E57" s="557">
        <v>70</v>
      </c>
      <c r="F57" s="561">
        <v>6.56</v>
      </c>
      <c r="G57" s="555">
        <f>ROUND(F57*(1+(insumos!E$37/100)),2)</f>
        <v>8.04</v>
      </c>
      <c r="H57" s="556">
        <f t="shared" si="16"/>
        <v>562.8</v>
      </c>
      <c r="I57" s="565" t="e">
        <f t="shared" si="17"/>
        <v>#REF!</v>
      </c>
      <c r="J57" s="565" t="e">
        <f t="shared" si="18"/>
        <v>#REF!</v>
      </c>
      <c r="K57" s="566" t="e">
        <f t="shared" si="19"/>
        <v>#REF!</v>
      </c>
      <c r="L57" s="543"/>
    </row>
    <row r="58" spans="1:12" s="439" customFormat="1" ht="17.25" customHeight="1">
      <c r="A58" s="543"/>
      <c r="B58" s="552" t="s">
        <v>147</v>
      </c>
      <c r="C58" s="558" t="s">
        <v>149</v>
      </c>
      <c r="D58" s="557" t="s">
        <v>13</v>
      </c>
      <c r="E58" s="562">
        <v>1400</v>
      </c>
      <c r="F58" s="561">
        <v>1.89</v>
      </c>
      <c r="G58" s="555">
        <f>ROUND(F58*(1+(insumos!E$37/100)),2)</f>
        <v>2.32</v>
      </c>
      <c r="H58" s="556">
        <f t="shared" si="16"/>
        <v>3248</v>
      </c>
      <c r="I58" s="565" t="e">
        <f t="shared" si="17"/>
        <v>#REF!</v>
      </c>
      <c r="J58" s="565" t="e">
        <f t="shared" si="18"/>
        <v>#REF!</v>
      </c>
      <c r="K58" s="566" t="e">
        <f t="shared" si="19"/>
        <v>#REF!</v>
      </c>
      <c r="L58" s="543"/>
    </row>
    <row r="59" spans="1:12" s="439" customFormat="1" ht="17.25" customHeight="1">
      <c r="A59" s="543"/>
      <c r="B59" s="552" t="s">
        <v>150</v>
      </c>
      <c r="C59" s="558" t="s">
        <v>152</v>
      </c>
      <c r="D59" s="557" t="s">
        <v>20</v>
      </c>
      <c r="E59" s="557">
        <v>70</v>
      </c>
      <c r="F59" s="561">
        <v>2.52</v>
      </c>
      <c r="G59" s="555">
        <f>ROUND(F59*(1+(insumos!E$37/100)),2)</f>
        <v>3.09</v>
      </c>
      <c r="H59" s="556">
        <f t="shared" si="16"/>
        <v>216.3</v>
      </c>
      <c r="I59" s="565" t="e">
        <f t="shared" si="17"/>
        <v>#REF!</v>
      </c>
      <c r="J59" s="565" t="e">
        <f t="shared" si="18"/>
        <v>#REF!</v>
      </c>
      <c r="K59" s="566" t="e">
        <f t="shared" si="19"/>
        <v>#REF!</v>
      </c>
      <c r="L59" s="543"/>
    </row>
    <row r="60" spans="1:12" s="439" customFormat="1" ht="17.25" customHeight="1">
      <c r="A60" s="543"/>
      <c r="B60" s="559" t="s">
        <v>258</v>
      </c>
      <c r="C60" s="559"/>
      <c r="D60" s="559"/>
      <c r="E60" s="559"/>
      <c r="F60" s="559"/>
      <c r="G60" s="559"/>
      <c r="H60" s="560">
        <f>SUM(H51:H59)</f>
        <v>63586.10000000001</v>
      </c>
      <c r="I60" s="567" t="e">
        <f>ROUND(H60/H$92*I$92,2)</f>
        <v>#REF!</v>
      </c>
      <c r="J60" s="568"/>
      <c r="K60" s="568"/>
      <c r="L60" s="543"/>
    </row>
    <row r="61" spans="1:12" s="439" customFormat="1" ht="17.25" customHeight="1">
      <c r="A61" s="543"/>
      <c r="B61" s="551" t="s">
        <v>259</v>
      </c>
      <c r="C61" s="551"/>
      <c r="D61" s="551"/>
      <c r="E61" s="551"/>
      <c r="F61" s="551"/>
      <c r="G61" s="551"/>
      <c r="H61" s="551"/>
      <c r="I61" s="551"/>
      <c r="J61" s="551"/>
      <c r="K61" s="551"/>
      <c r="L61" s="543"/>
    </row>
    <row r="62" spans="1:12" s="439" customFormat="1" ht="17.25" customHeight="1">
      <c r="A62" s="543"/>
      <c r="B62" s="552" t="s">
        <v>155</v>
      </c>
      <c r="C62" s="553" t="s">
        <v>157</v>
      </c>
      <c r="D62" s="557" t="s">
        <v>43</v>
      </c>
      <c r="E62" s="554">
        <v>60</v>
      </c>
      <c r="F62" s="561">
        <v>55.71</v>
      </c>
      <c r="G62" s="555">
        <f>ROUND(F62*(1+(insumos!E$37/100)),2)</f>
        <v>68.24</v>
      </c>
      <c r="H62" s="556">
        <f aca="true" t="shared" si="20" ref="H62:H85">ROUND(G62*E62,2)</f>
        <v>4094.4</v>
      </c>
      <c r="I62" s="565" t="e">
        <f aca="true" t="shared" si="21" ref="I62:I85">ROUND(H62/H$86*I$86,2)</f>
        <v>#REF!</v>
      </c>
      <c r="J62" s="565" t="e">
        <f aca="true" t="shared" si="22" ref="J62:J85">ROUND(I62/E62,2)</f>
        <v>#REF!</v>
      </c>
      <c r="K62" s="566" t="e">
        <f aca="true" t="shared" si="23" ref="K62:K85">G62+J62</f>
        <v>#REF!</v>
      </c>
      <c r="L62" s="543"/>
    </row>
    <row r="63" spans="1:12" s="439" customFormat="1" ht="17.25" customHeight="1">
      <c r="A63" s="543"/>
      <c r="B63" s="552" t="s">
        <v>158</v>
      </c>
      <c r="C63" s="553" t="s">
        <v>160</v>
      </c>
      <c r="D63" s="557" t="s">
        <v>43</v>
      </c>
      <c r="E63" s="554">
        <v>30</v>
      </c>
      <c r="F63" s="561">
        <v>138.22</v>
      </c>
      <c r="G63" s="555">
        <f>ROUND(F63*(1+(insumos!E$37/100)),2)</f>
        <v>169.32</v>
      </c>
      <c r="H63" s="556">
        <f t="shared" si="20"/>
        <v>5079.6</v>
      </c>
      <c r="I63" s="565" t="e">
        <f t="shared" si="21"/>
        <v>#REF!</v>
      </c>
      <c r="J63" s="565" t="e">
        <f t="shared" si="22"/>
        <v>#REF!</v>
      </c>
      <c r="K63" s="566" t="e">
        <f t="shared" si="23"/>
        <v>#REF!</v>
      </c>
      <c r="L63" s="543"/>
    </row>
    <row r="64" spans="1:12" s="439" customFormat="1" ht="17.25" customHeight="1">
      <c r="A64" s="543"/>
      <c r="B64" s="552" t="s">
        <v>161</v>
      </c>
      <c r="C64" s="553" t="s">
        <v>163</v>
      </c>
      <c r="D64" s="557" t="s">
        <v>43</v>
      </c>
      <c r="E64" s="554">
        <v>30</v>
      </c>
      <c r="F64" s="561">
        <v>71.65</v>
      </c>
      <c r="G64" s="555">
        <f>ROUND(F64*(1+(insumos!E$37/100)),2)</f>
        <v>87.77</v>
      </c>
      <c r="H64" s="556">
        <f t="shared" si="20"/>
        <v>2633.1</v>
      </c>
      <c r="I64" s="565" t="e">
        <f t="shared" si="21"/>
        <v>#REF!</v>
      </c>
      <c r="J64" s="565" t="e">
        <f t="shared" si="22"/>
        <v>#REF!</v>
      </c>
      <c r="K64" s="566" t="e">
        <f t="shared" si="23"/>
        <v>#REF!</v>
      </c>
      <c r="L64" s="543"/>
    </row>
    <row r="65" spans="1:12" s="439" customFormat="1" ht="42.75">
      <c r="A65" s="543"/>
      <c r="B65" s="552" t="s">
        <v>164</v>
      </c>
      <c r="C65" s="553" t="s">
        <v>166</v>
      </c>
      <c r="D65" s="557" t="s">
        <v>43</v>
      </c>
      <c r="E65" s="554">
        <v>6</v>
      </c>
      <c r="F65" s="561">
        <v>431.32</v>
      </c>
      <c r="G65" s="555">
        <f>ROUND(F65*(1+(insumos!E$37/100)),2)</f>
        <v>528.36</v>
      </c>
      <c r="H65" s="556">
        <f t="shared" si="20"/>
        <v>3170.16</v>
      </c>
      <c r="I65" s="565" t="e">
        <f t="shared" si="21"/>
        <v>#REF!</v>
      </c>
      <c r="J65" s="565" t="e">
        <f t="shared" si="22"/>
        <v>#REF!</v>
      </c>
      <c r="K65" s="566" t="e">
        <f t="shared" si="23"/>
        <v>#REF!</v>
      </c>
      <c r="L65" s="543"/>
    </row>
    <row r="66" spans="1:12" s="439" customFormat="1" ht="42.75">
      <c r="A66" s="543"/>
      <c r="B66" s="552" t="s">
        <v>167</v>
      </c>
      <c r="C66" s="553" t="s">
        <v>169</v>
      </c>
      <c r="D66" s="557" t="s">
        <v>43</v>
      </c>
      <c r="E66" s="554">
        <v>6</v>
      </c>
      <c r="F66" s="561">
        <v>711.82</v>
      </c>
      <c r="G66" s="555">
        <f>ROUND(F66*(1+(insumos!E$37/100)),2)</f>
        <v>871.97</v>
      </c>
      <c r="H66" s="556">
        <f t="shared" si="20"/>
        <v>5231.82</v>
      </c>
      <c r="I66" s="565" t="e">
        <f t="shared" si="21"/>
        <v>#REF!</v>
      </c>
      <c r="J66" s="565" t="e">
        <f t="shared" si="22"/>
        <v>#REF!</v>
      </c>
      <c r="K66" s="566" t="e">
        <f t="shared" si="23"/>
        <v>#REF!</v>
      </c>
      <c r="L66" s="543"/>
    </row>
    <row r="67" spans="1:12" s="439" customFormat="1" ht="42.75">
      <c r="A67" s="543"/>
      <c r="B67" s="552" t="s">
        <v>170</v>
      </c>
      <c r="C67" s="553" t="s">
        <v>172</v>
      </c>
      <c r="D67" s="557" t="s">
        <v>43</v>
      </c>
      <c r="E67" s="554">
        <v>6</v>
      </c>
      <c r="F67" s="561">
        <v>949.36</v>
      </c>
      <c r="G67" s="555">
        <f>ROUND(F67*(1+(insumos!E$37/100)),2)</f>
        <v>1162.96</v>
      </c>
      <c r="H67" s="556">
        <f t="shared" si="20"/>
        <v>6977.76</v>
      </c>
      <c r="I67" s="565" t="e">
        <f t="shared" si="21"/>
        <v>#REF!</v>
      </c>
      <c r="J67" s="565" t="e">
        <f t="shared" si="22"/>
        <v>#REF!</v>
      </c>
      <c r="K67" s="566" t="e">
        <f t="shared" si="23"/>
        <v>#REF!</v>
      </c>
      <c r="L67" s="543"/>
    </row>
    <row r="68" spans="1:12" s="439" customFormat="1" ht="28.5" customHeight="1">
      <c r="A68" s="543"/>
      <c r="B68" s="552" t="s">
        <v>173</v>
      </c>
      <c r="C68" s="553" t="s">
        <v>175</v>
      </c>
      <c r="D68" s="554" t="s">
        <v>36</v>
      </c>
      <c r="E68" s="554">
        <v>6</v>
      </c>
      <c r="F68" s="561">
        <v>1658.94</v>
      </c>
      <c r="G68" s="555">
        <f>ROUND(F68*(1+(insumos!E$37/100)),2)</f>
        <v>2032.18</v>
      </c>
      <c r="H68" s="556">
        <f t="shared" si="20"/>
        <v>12193.08</v>
      </c>
      <c r="I68" s="565" t="e">
        <f t="shared" si="21"/>
        <v>#REF!</v>
      </c>
      <c r="J68" s="565" t="e">
        <f t="shared" si="22"/>
        <v>#REF!</v>
      </c>
      <c r="K68" s="566" t="e">
        <f t="shared" si="23"/>
        <v>#REF!</v>
      </c>
      <c r="L68" s="543"/>
    </row>
    <row r="69" spans="1:12" s="439" customFormat="1" ht="28.5" customHeight="1">
      <c r="A69" s="543"/>
      <c r="B69" s="552" t="s">
        <v>176</v>
      </c>
      <c r="C69" s="553" t="s">
        <v>178</v>
      </c>
      <c r="D69" s="557" t="s">
        <v>43</v>
      </c>
      <c r="E69" s="554">
        <v>6</v>
      </c>
      <c r="F69" s="561">
        <v>1930.51</v>
      </c>
      <c r="G69" s="555">
        <f>ROUND(F69*(1+(insumos!E$37/100)),2)</f>
        <v>2364.86</v>
      </c>
      <c r="H69" s="556">
        <f t="shared" si="20"/>
        <v>14189.16</v>
      </c>
      <c r="I69" s="565" t="e">
        <f t="shared" si="21"/>
        <v>#REF!</v>
      </c>
      <c r="J69" s="565" t="e">
        <f t="shared" si="22"/>
        <v>#REF!</v>
      </c>
      <c r="K69" s="566" t="e">
        <f t="shared" si="23"/>
        <v>#REF!</v>
      </c>
      <c r="L69" s="543"/>
    </row>
    <row r="70" spans="1:12" s="439" customFormat="1" ht="28.5" customHeight="1">
      <c r="A70" s="543"/>
      <c r="B70" s="552" t="s">
        <v>179</v>
      </c>
      <c r="C70" s="553" t="s">
        <v>181</v>
      </c>
      <c r="D70" s="557" t="s">
        <v>43</v>
      </c>
      <c r="E70" s="554">
        <v>3</v>
      </c>
      <c r="F70" s="561">
        <v>2765.92</v>
      </c>
      <c r="G70" s="555">
        <f>ROUND(F70*(1+(insumos!E$37/100)),2)</f>
        <v>3388.22</v>
      </c>
      <c r="H70" s="556">
        <f t="shared" si="20"/>
        <v>10164.66</v>
      </c>
      <c r="I70" s="565" t="e">
        <f t="shared" si="21"/>
        <v>#REF!</v>
      </c>
      <c r="J70" s="565" t="e">
        <f t="shared" si="22"/>
        <v>#REF!</v>
      </c>
      <c r="K70" s="566" t="e">
        <f t="shared" si="23"/>
        <v>#REF!</v>
      </c>
      <c r="L70" s="543"/>
    </row>
    <row r="71" spans="1:12" s="439" customFormat="1" ht="28.5" customHeight="1">
      <c r="A71" s="543"/>
      <c r="B71" s="552" t="s">
        <v>182</v>
      </c>
      <c r="C71" s="553" t="s">
        <v>184</v>
      </c>
      <c r="D71" s="554" t="s">
        <v>36</v>
      </c>
      <c r="E71" s="554">
        <v>380</v>
      </c>
      <c r="F71" s="561">
        <v>60.33</v>
      </c>
      <c r="G71" s="555">
        <f>ROUND(F71*(1+(insumos!E$37/100)),2)</f>
        <v>73.9</v>
      </c>
      <c r="H71" s="556">
        <f t="shared" si="20"/>
        <v>28082</v>
      </c>
      <c r="I71" s="565" t="e">
        <f t="shared" si="21"/>
        <v>#REF!</v>
      </c>
      <c r="J71" s="565" t="e">
        <f t="shared" si="22"/>
        <v>#REF!</v>
      </c>
      <c r="K71" s="566" t="e">
        <f t="shared" si="23"/>
        <v>#REF!</v>
      </c>
      <c r="L71" s="543"/>
    </row>
    <row r="72" spans="1:12" s="439" customFormat="1" ht="28.5" customHeight="1">
      <c r="A72" s="543"/>
      <c r="B72" s="552" t="s">
        <v>185</v>
      </c>
      <c r="C72" s="553" t="s">
        <v>187</v>
      </c>
      <c r="D72" s="554" t="s">
        <v>36</v>
      </c>
      <c r="E72" s="554">
        <v>480</v>
      </c>
      <c r="F72" s="561">
        <v>83.46</v>
      </c>
      <c r="G72" s="555">
        <f>ROUND(F72*(1+(insumos!E$37/100)),2)</f>
        <v>102.24</v>
      </c>
      <c r="H72" s="556">
        <f t="shared" si="20"/>
        <v>49075.2</v>
      </c>
      <c r="I72" s="565" t="e">
        <f t="shared" si="21"/>
        <v>#REF!</v>
      </c>
      <c r="J72" s="565" t="e">
        <f t="shared" si="22"/>
        <v>#REF!</v>
      </c>
      <c r="K72" s="566" t="e">
        <f t="shared" si="23"/>
        <v>#REF!</v>
      </c>
      <c r="L72" s="543"/>
    </row>
    <row r="73" spans="1:12" s="439" customFormat="1" ht="28.5" customHeight="1">
      <c r="A73" s="543"/>
      <c r="B73" s="552" t="s">
        <v>188</v>
      </c>
      <c r="C73" s="553" t="s">
        <v>190</v>
      </c>
      <c r="D73" s="554" t="s">
        <v>36</v>
      </c>
      <c r="E73" s="554">
        <v>200</v>
      </c>
      <c r="F73" s="561">
        <v>129.71</v>
      </c>
      <c r="G73" s="555">
        <f>ROUND(F73*(1+(insumos!E$37/100)),2)</f>
        <v>158.89</v>
      </c>
      <c r="H73" s="556">
        <f t="shared" si="20"/>
        <v>31778</v>
      </c>
      <c r="I73" s="565" t="e">
        <f t="shared" si="21"/>
        <v>#REF!</v>
      </c>
      <c r="J73" s="565" t="e">
        <f t="shared" si="22"/>
        <v>#REF!</v>
      </c>
      <c r="K73" s="566" t="e">
        <f t="shared" si="23"/>
        <v>#REF!</v>
      </c>
      <c r="L73" s="543"/>
    </row>
    <row r="74" spans="1:12" s="439" customFormat="1" ht="28.5" customHeight="1">
      <c r="A74" s="543"/>
      <c r="B74" s="552" t="s">
        <v>191</v>
      </c>
      <c r="C74" s="553" t="s">
        <v>193</v>
      </c>
      <c r="D74" s="554" t="s">
        <v>36</v>
      </c>
      <c r="E74" s="554">
        <v>90</v>
      </c>
      <c r="F74" s="561">
        <v>170.06</v>
      </c>
      <c r="G74" s="555">
        <f>ROUND(F74*(1+(insumos!E$37/100)),2)</f>
        <v>208.32</v>
      </c>
      <c r="H74" s="556">
        <f t="shared" si="20"/>
        <v>18748.8</v>
      </c>
      <c r="I74" s="565" t="e">
        <f t="shared" si="21"/>
        <v>#REF!</v>
      </c>
      <c r="J74" s="565" t="e">
        <f t="shared" si="22"/>
        <v>#REF!</v>
      </c>
      <c r="K74" s="566" t="e">
        <f t="shared" si="23"/>
        <v>#REF!</v>
      </c>
      <c r="L74" s="543"/>
    </row>
    <row r="75" spans="1:12" s="439" customFormat="1" ht="28.5" customHeight="1">
      <c r="A75" s="543"/>
      <c r="B75" s="552" t="s">
        <v>194</v>
      </c>
      <c r="C75" s="553" t="s">
        <v>196</v>
      </c>
      <c r="D75" s="554" t="s">
        <v>36</v>
      </c>
      <c r="E75" s="554">
        <v>50</v>
      </c>
      <c r="F75" s="561">
        <v>251.27</v>
      </c>
      <c r="G75" s="555">
        <f>ROUND(F75*(1+(insumos!E$37/100)),2)</f>
        <v>307.8</v>
      </c>
      <c r="H75" s="556">
        <f t="shared" si="20"/>
        <v>15390</v>
      </c>
      <c r="I75" s="565" t="e">
        <f t="shared" si="21"/>
        <v>#REF!</v>
      </c>
      <c r="J75" s="565" t="e">
        <f t="shared" si="22"/>
        <v>#REF!</v>
      </c>
      <c r="K75" s="566" t="e">
        <f t="shared" si="23"/>
        <v>#REF!</v>
      </c>
      <c r="L75" s="543"/>
    </row>
    <row r="76" spans="1:12" s="439" customFormat="1" ht="28.5" customHeight="1">
      <c r="A76" s="543"/>
      <c r="B76" s="552" t="s">
        <v>197</v>
      </c>
      <c r="C76" s="553" t="s">
        <v>199</v>
      </c>
      <c r="D76" s="554" t="s">
        <v>36</v>
      </c>
      <c r="E76" s="554">
        <v>75</v>
      </c>
      <c r="F76" s="561">
        <v>382.5</v>
      </c>
      <c r="G76" s="555">
        <f>ROUND(F76*(1+(insumos!E$37/100)),2)</f>
        <v>468.56</v>
      </c>
      <c r="H76" s="556">
        <f t="shared" si="20"/>
        <v>35142</v>
      </c>
      <c r="I76" s="565" t="e">
        <f t="shared" si="21"/>
        <v>#REF!</v>
      </c>
      <c r="J76" s="565" t="e">
        <f t="shared" si="22"/>
        <v>#REF!</v>
      </c>
      <c r="K76" s="566" t="e">
        <f t="shared" si="23"/>
        <v>#REF!</v>
      </c>
      <c r="L76" s="543"/>
    </row>
    <row r="77" spans="1:12" s="439" customFormat="1" ht="28.5" customHeight="1">
      <c r="A77" s="543"/>
      <c r="B77" s="552" t="s">
        <v>200</v>
      </c>
      <c r="C77" s="553" t="s">
        <v>202</v>
      </c>
      <c r="D77" s="557" t="s">
        <v>43</v>
      </c>
      <c r="E77" s="554">
        <v>75</v>
      </c>
      <c r="F77" s="561">
        <v>76.68</v>
      </c>
      <c r="G77" s="555">
        <f>ROUND(F77*(1+(insumos!E$37/100)),2)</f>
        <v>93.93</v>
      </c>
      <c r="H77" s="556">
        <f t="shared" si="20"/>
        <v>7044.75</v>
      </c>
      <c r="I77" s="565" t="e">
        <f t="shared" si="21"/>
        <v>#REF!</v>
      </c>
      <c r="J77" s="565" t="e">
        <f t="shared" si="22"/>
        <v>#REF!</v>
      </c>
      <c r="K77" s="566" t="e">
        <f t="shared" si="23"/>
        <v>#REF!</v>
      </c>
      <c r="L77" s="543"/>
    </row>
    <row r="78" spans="1:12" s="439" customFormat="1" ht="28.5" customHeight="1">
      <c r="A78" s="543"/>
      <c r="B78" s="552" t="s">
        <v>203</v>
      </c>
      <c r="C78" s="553" t="s">
        <v>205</v>
      </c>
      <c r="D78" s="557" t="s">
        <v>43</v>
      </c>
      <c r="E78" s="554">
        <v>75</v>
      </c>
      <c r="F78" s="561">
        <v>100.93</v>
      </c>
      <c r="G78" s="555">
        <f>ROUND(F78*(1+(insumos!E$37/100)),2)</f>
        <v>123.64</v>
      </c>
      <c r="H78" s="556">
        <f t="shared" si="20"/>
        <v>9273</v>
      </c>
      <c r="I78" s="565" t="e">
        <f t="shared" si="21"/>
        <v>#REF!</v>
      </c>
      <c r="J78" s="565" t="e">
        <f t="shared" si="22"/>
        <v>#REF!</v>
      </c>
      <c r="K78" s="566" t="e">
        <f t="shared" si="23"/>
        <v>#REF!</v>
      </c>
      <c r="L78" s="543"/>
    </row>
    <row r="79" spans="1:12" s="439" customFormat="1" ht="28.5" customHeight="1">
      <c r="A79" s="543"/>
      <c r="B79" s="552" t="s">
        <v>206</v>
      </c>
      <c r="C79" s="553" t="s">
        <v>208</v>
      </c>
      <c r="D79" s="557" t="s">
        <v>43</v>
      </c>
      <c r="E79" s="554">
        <v>35</v>
      </c>
      <c r="F79" s="561">
        <v>158.86</v>
      </c>
      <c r="G79" s="555">
        <f>ROUND(F79*(1+(insumos!E$37/100)),2)</f>
        <v>194.6</v>
      </c>
      <c r="H79" s="556">
        <f t="shared" si="20"/>
        <v>6811</v>
      </c>
      <c r="I79" s="565" t="e">
        <f t="shared" si="21"/>
        <v>#REF!</v>
      </c>
      <c r="J79" s="565" t="e">
        <f t="shared" si="22"/>
        <v>#REF!</v>
      </c>
      <c r="K79" s="566" t="e">
        <f t="shared" si="23"/>
        <v>#REF!</v>
      </c>
      <c r="L79" s="543"/>
    </row>
    <row r="80" spans="1:12" s="439" customFormat="1" ht="28.5" customHeight="1">
      <c r="A80" s="543"/>
      <c r="B80" s="552" t="s">
        <v>209</v>
      </c>
      <c r="C80" s="558" t="s">
        <v>211</v>
      </c>
      <c r="D80" s="557" t="s">
        <v>43</v>
      </c>
      <c r="E80" s="557">
        <v>300</v>
      </c>
      <c r="F80" s="561">
        <v>949.36</v>
      </c>
      <c r="G80" s="555">
        <f>ROUND(F80*(1+(insumos!E$37/100)),2)</f>
        <v>1162.96</v>
      </c>
      <c r="H80" s="556">
        <f t="shared" si="20"/>
        <v>348888</v>
      </c>
      <c r="I80" s="565" t="e">
        <f t="shared" si="21"/>
        <v>#REF!</v>
      </c>
      <c r="J80" s="565" t="e">
        <f t="shared" si="22"/>
        <v>#REF!</v>
      </c>
      <c r="K80" s="566" t="e">
        <f t="shared" si="23"/>
        <v>#REF!</v>
      </c>
      <c r="L80" s="543"/>
    </row>
    <row r="81" spans="1:12" s="439" customFormat="1" ht="28.5" customHeight="1">
      <c r="A81" s="543"/>
      <c r="B81" s="552" t="s">
        <v>212</v>
      </c>
      <c r="C81" s="558" t="s">
        <v>214</v>
      </c>
      <c r="D81" s="557" t="s">
        <v>43</v>
      </c>
      <c r="E81" s="557">
        <v>360</v>
      </c>
      <c r="F81" s="561">
        <v>1658.94</v>
      </c>
      <c r="G81" s="555">
        <f>ROUND(F81*(1+(insumos!E$37/100)),2)</f>
        <v>2032.18</v>
      </c>
      <c r="H81" s="556">
        <f t="shared" si="20"/>
        <v>731584.8</v>
      </c>
      <c r="I81" s="565" t="e">
        <f t="shared" si="21"/>
        <v>#REF!</v>
      </c>
      <c r="J81" s="565" t="e">
        <f t="shared" si="22"/>
        <v>#REF!</v>
      </c>
      <c r="K81" s="566" t="e">
        <f t="shared" si="23"/>
        <v>#REF!</v>
      </c>
      <c r="L81" s="543"/>
    </row>
    <row r="82" spans="1:12" s="439" customFormat="1" ht="28.5" customHeight="1">
      <c r="A82" s="543"/>
      <c r="B82" s="552" t="s">
        <v>215</v>
      </c>
      <c r="C82" s="558" t="s">
        <v>217</v>
      </c>
      <c r="D82" s="557" t="s">
        <v>43</v>
      </c>
      <c r="E82" s="557">
        <v>45</v>
      </c>
      <c r="F82" s="561">
        <v>1930.51</v>
      </c>
      <c r="G82" s="555">
        <f>ROUND(F82*(1+(insumos!E$37/100)),2)</f>
        <v>2364.86</v>
      </c>
      <c r="H82" s="556">
        <f t="shared" si="20"/>
        <v>106418.7</v>
      </c>
      <c r="I82" s="565" t="e">
        <f t="shared" si="21"/>
        <v>#REF!</v>
      </c>
      <c r="J82" s="565" t="e">
        <f t="shared" si="22"/>
        <v>#REF!</v>
      </c>
      <c r="K82" s="566" t="e">
        <f t="shared" si="23"/>
        <v>#REF!</v>
      </c>
      <c r="L82" s="543"/>
    </row>
    <row r="83" spans="1:12" s="439" customFormat="1" ht="28.5" customHeight="1">
      <c r="A83" s="543"/>
      <c r="B83" s="552" t="s">
        <v>218</v>
      </c>
      <c r="C83" s="558" t="s">
        <v>220</v>
      </c>
      <c r="D83" s="557" t="s">
        <v>36</v>
      </c>
      <c r="E83" s="557">
        <v>120</v>
      </c>
      <c r="F83" s="561">
        <v>16.06</v>
      </c>
      <c r="G83" s="555">
        <f>ROUND(F83*(1+(insumos!E$37/100)),2)</f>
        <v>19.67</v>
      </c>
      <c r="H83" s="556">
        <f t="shared" si="20"/>
        <v>2360.4</v>
      </c>
      <c r="I83" s="565" t="e">
        <f t="shared" si="21"/>
        <v>#REF!</v>
      </c>
      <c r="J83" s="565" t="e">
        <f t="shared" si="22"/>
        <v>#REF!</v>
      </c>
      <c r="K83" s="566" t="e">
        <f t="shared" si="23"/>
        <v>#REF!</v>
      </c>
      <c r="L83" s="543"/>
    </row>
    <row r="84" spans="1:12" s="439" customFormat="1" ht="17.25" customHeight="1">
      <c r="A84" s="543"/>
      <c r="B84" s="552" t="s">
        <v>221</v>
      </c>
      <c r="C84" s="558" t="s">
        <v>222</v>
      </c>
      <c r="D84" s="557" t="s">
        <v>36</v>
      </c>
      <c r="E84" s="557">
        <v>120</v>
      </c>
      <c r="F84" s="561">
        <v>32</v>
      </c>
      <c r="G84" s="555">
        <f>ROUND(F84*(1+(insumos!E$37/100)),2)</f>
        <v>39.2</v>
      </c>
      <c r="H84" s="556">
        <f t="shared" si="20"/>
        <v>4704</v>
      </c>
      <c r="I84" s="565" t="e">
        <f t="shared" si="21"/>
        <v>#REF!</v>
      </c>
      <c r="J84" s="565" t="e">
        <f t="shared" si="22"/>
        <v>#REF!</v>
      </c>
      <c r="K84" s="566" t="e">
        <f t="shared" si="23"/>
        <v>#REF!</v>
      </c>
      <c r="L84" s="543"/>
    </row>
    <row r="85" spans="1:12" s="439" customFormat="1" ht="17.25" customHeight="1">
      <c r="A85" s="543"/>
      <c r="B85" s="552" t="s">
        <v>223</v>
      </c>
      <c r="C85" s="558" t="s">
        <v>224</v>
      </c>
      <c r="D85" s="557" t="s">
        <v>36</v>
      </c>
      <c r="E85" s="557">
        <v>60</v>
      </c>
      <c r="F85" s="561">
        <v>59</v>
      </c>
      <c r="G85" s="555">
        <f>ROUND(F85*(1+(insumos!E$37/100)),2)</f>
        <v>72.27</v>
      </c>
      <c r="H85" s="556">
        <f t="shared" si="20"/>
        <v>4336.2</v>
      </c>
      <c r="I85" s="565" t="e">
        <f t="shared" si="21"/>
        <v>#REF!</v>
      </c>
      <c r="J85" s="565" t="e">
        <f t="shared" si="22"/>
        <v>#REF!</v>
      </c>
      <c r="K85" s="566" t="e">
        <f t="shared" si="23"/>
        <v>#REF!</v>
      </c>
      <c r="L85" s="543"/>
    </row>
    <row r="86" spans="1:12" s="439" customFormat="1" ht="17.25" customHeight="1">
      <c r="A86" s="543"/>
      <c r="B86" s="559" t="s">
        <v>260</v>
      </c>
      <c r="C86" s="559"/>
      <c r="D86" s="559"/>
      <c r="E86" s="559"/>
      <c r="F86" s="559"/>
      <c r="G86" s="559"/>
      <c r="H86" s="560">
        <f>SUM(H62:H85)</f>
        <v>1463370.5899999999</v>
      </c>
      <c r="I86" s="567" t="e">
        <f>ROUND(H86/H$92*I$92,2)</f>
        <v>#REF!</v>
      </c>
      <c r="J86" s="568"/>
      <c r="K86" s="568"/>
      <c r="L86" s="543"/>
    </row>
    <row r="87" spans="1:12" s="439" customFormat="1" ht="17.25" customHeight="1">
      <c r="A87" s="543"/>
      <c r="B87" s="551" t="s">
        <v>261</v>
      </c>
      <c r="C87" s="551"/>
      <c r="D87" s="551"/>
      <c r="E87" s="551"/>
      <c r="F87" s="551"/>
      <c r="G87" s="551"/>
      <c r="H87" s="551"/>
      <c r="I87" s="551"/>
      <c r="J87" s="551"/>
      <c r="K87" s="551"/>
      <c r="L87" s="543"/>
    </row>
    <row r="88" spans="1:12" s="439" customFormat="1" ht="17.25" customHeight="1">
      <c r="A88" s="543"/>
      <c r="B88" s="552" t="s">
        <v>227</v>
      </c>
      <c r="C88" s="558" t="s">
        <v>262</v>
      </c>
      <c r="D88" s="557" t="s">
        <v>230</v>
      </c>
      <c r="E88" s="557">
        <v>800</v>
      </c>
      <c r="F88" s="561">
        <v>149.07</v>
      </c>
      <c r="G88" s="555">
        <f>ROUND(F88*(1+(insumos!E$37/100)),2)</f>
        <v>182.61</v>
      </c>
      <c r="H88" s="556">
        <f aca="true" t="shared" si="24" ref="H88:H90">ROUND(G88*E88,2)</f>
        <v>146088</v>
      </c>
      <c r="I88" s="565" t="e">
        <f aca="true" t="shared" si="25" ref="I88:I90">ROUND(H88/H$91*I$91,2)</f>
        <v>#REF!</v>
      </c>
      <c r="J88" s="565" t="e">
        <f aca="true" t="shared" si="26" ref="J88:J90">ROUND(I88/E88,2)</f>
        <v>#REF!</v>
      </c>
      <c r="K88" s="566" t="e">
        <f aca="true" t="shared" si="27" ref="K88:K90">G88+J88</f>
        <v>#REF!</v>
      </c>
      <c r="L88" s="543"/>
    </row>
    <row r="89" spans="1:12" s="439" customFormat="1" ht="17.25" customHeight="1">
      <c r="A89" s="543"/>
      <c r="B89" s="552" t="s">
        <v>231</v>
      </c>
      <c r="C89" s="558" t="s">
        <v>233</v>
      </c>
      <c r="D89" s="557" t="s">
        <v>230</v>
      </c>
      <c r="E89" s="557">
        <v>800</v>
      </c>
      <c r="F89" s="561">
        <v>140.37</v>
      </c>
      <c r="G89" s="555">
        <f>ROUND(F89*(1+(insumos!E$37/100)),2)</f>
        <v>171.95</v>
      </c>
      <c r="H89" s="556">
        <f t="shared" si="24"/>
        <v>137560</v>
      </c>
      <c r="I89" s="565" t="e">
        <f t="shared" si="25"/>
        <v>#REF!</v>
      </c>
      <c r="J89" s="565" t="e">
        <f t="shared" si="26"/>
        <v>#REF!</v>
      </c>
      <c r="K89" s="566" t="e">
        <f t="shared" si="27"/>
        <v>#REF!</v>
      </c>
      <c r="L89" s="543"/>
    </row>
    <row r="90" spans="1:12" s="439" customFormat="1" ht="28.5">
      <c r="A90" s="543"/>
      <c r="B90" s="552" t="s">
        <v>234</v>
      </c>
      <c r="C90" s="553" t="s">
        <v>236</v>
      </c>
      <c r="D90" s="554" t="s">
        <v>230</v>
      </c>
      <c r="E90" s="554">
        <v>400</v>
      </c>
      <c r="F90" s="561">
        <v>3.5</v>
      </c>
      <c r="G90" s="555">
        <f>ROUND(F90*(1+(insumos!E$37/100)),2)</f>
        <v>4.29</v>
      </c>
      <c r="H90" s="556">
        <f t="shared" si="24"/>
        <v>1716</v>
      </c>
      <c r="I90" s="565" t="e">
        <f t="shared" si="25"/>
        <v>#REF!</v>
      </c>
      <c r="J90" s="565" t="e">
        <f t="shared" si="26"/>
        <v>#REF!</v>
      </c>
      <c r="K90" s="566" t="e">
        <f t="shared" si="27"/>
        <v>#REF!</v>
      </c>
      <c r="L90" s="543"/>
    </row>
    <row r="91" spans="1:12" s="439" customFormat="1" ht="17.25" customHeight="1">
      <c r="A91" s="543"/>
      <c r="B91" s="559" t="s">
        <v>263</v>
      </c>
      <c r="C91" s="559"/>
      <c r="D91" s="559"/>
      <c r="E91" s="559"/>
      <c r="F91" s="559"/>
      <c r="G91" s="559"/>
      <c r="H91" s="560">
        <f>SUM(H88:H90)</f>
        <v>285364</v>
      </c>
      <c r="I91" s="567" t="e">
        <f>ROUND(H91/H$92*I$92,2)</f>
        <v>#REF!</v>
      </c>
      <c r="J91" s="568"/>
      <c r="K91" s="568"/>
      <c r="L91" s="543"/>
    </row>
    <row r="92" spans="1:12" s="439" customFormat="1" ht="17.25" customHeight="1">
      <c r="A92" s="543"/>
      <c r="B92" s="569" t="s">
        <v>264</v>
      </c>
      <c r="C92" s="569"/>
      <c r="D92" s="569"/>
      <c r="E92" s="569"/>
      <c r="F92" s="569"/>
      <c r="G92" s="570"/>
      <c r="H92" s="571">
        <f>H24+H30+H41+H49+H60+H86+H91</f>
        <v>2191455.6799999997</v>
      </c>
      <c r="I92" s="571" t="e">
        <f>#REF!</f>
        <v>#REF!</v>
      </c>
      <c r="J92" s="572"/>
      <c r="K92" s="572"/>
      <c r="L92" s="543"/>
    </row>
    <row r="93" spans="1:12" ht="14.25">
      <c r="A93" s="543"/>
      <c r="L93" s="543"/>
    </row>
  </sheetData>
  <sheetProtection selectLockedCells="1" selectUnlockedCells="1"/>
  <mergeCells count="34">
    <mergeCell ref="B3:K3"/>
    <mergeCell ref="B4:K4"/>
    <mergeCell ref="F5:H5"/>
    <mergeCell ref="I5:J5"/>
    <mergeCell ref="B7:K7"/>
    <mergeCell ref="B24:G24"/>
    <mergeCell ref="J24:K24"/>
    <mergeCell ref="B25:K25"/>
    <mergeCell ref="B30:G30"/>
    <mergeCell ref="J30:K30"/>
    <mergeCell ref="B31:K31"/>
    <mergeCell ref="B41:G41"/>
    <mergeCell ref="J41:K41"/>
    <mergeCell ref="B42:K42"/>
    <mergeCell ref="B49:G49"/>
    <mergeCell ref="J49:K49"/>
    <mergeCell ref="B50:K50"/>
    <mergeCell ref="B60:G60"/>
    <mergeCell ref="J60:K60"/>
    <mergeCell ref="B61:K61"/>
    <mergeCell ref="B86:G86"/>
    <mergeCell ref="J86:K86"/>
    <mergeCell ref="B87:K87"/>
    <mergeCell ref="B91:G91"/>
    <mergeCell ref="J91:K91"/>
    <mergeCell ref="B92:F92"/>
    <mergeCell ref="J92:K92"/>
    <mergeCell ref="A1:A93"/>
    <mergeCell ref="B5:B6"/>
    <mergeCell ref="C5:C6"/>
    <mergeCell ref="D5:D6"/>
    <mergeCell ref="E5:E6"/>
    <mergeCell ref="L1:L93"/>
    <mergeCell ref="B1:K2"/>
  </mergeCells>
  <printOptions/>
  <pageMargins left="0.9798611111111111" right="0.5902777777777778" top="0.3902777777777778" bottom="0.5902777777777778" header="0.5118055555555555" footer="0.5118055555555555"/>
  <pageSetup horizontalDpi="300" verticalDpi="300" orientation="portrait" paperSize="9" scale="28"/>
</worksheet>
</file>

<file path=xl/worksheets/sheet4.xml><?xml version="1.0" encoding="utf-8"?>
<worksheet xmlns="http://schemas.openxmlformats.org/spreadsheetml/2006/main" xmlns:r="http://schemas.openxmlformats.org/officeDocument/2006/relationships">
  <dimension ref="A1:L93"/>
  <sheetViews>
    <sheetView showGridLines="0" view="pageBreakPreview" zoomScale="90" zoomScaleNormal="90" zoomScaleSheetLayoutView="90" workbookViewId="0" topLeftCell="D1">
      <selection activeCell="F88" sqref="F88"/>
    </sheetView>
  </sheetViews>
  <sheetFormatPr defaultColWidth="9.140625" defaultRowHeight="15"/>
  <cols>
    <col min="1" max="1" width="2.7109375" style="542" bestFit="1" customWidth="1"/>
    <col min="2" max="2" width="8.7109375" style="542" bestFit="1" customWidth="1"/>
    <col min="3" max="3" width="108.7109375" style="542" bestFit="1" customWidth="1"/>
    <col min="4" max="4" width="14.7109375" style="542" bestFit="1" customWidth="1"/>
    <col min="5" max="5" width="15.7109375" style="542" bestFit="1" customWidth="1"/>
    <col min="6" max="11" width="17.7109375" style="542" bestFit="1" customWidth="1"/>
    <col min="12" max="12" width="2.7109375" style="542" bestFit="1" customWidth="1"/>
    <col min="13" max="16384" width="9.140625" style="542" bestFit="1" customWidth="1"/>
  </cols>
  <sheetData>
    <row r="1" spans="1:12" s="439" customFormat="1" ht="18.75" customHeight="1">
      <c r="A1" s="543"/>
      <c r="B1" s="444" t="s">
        <v>239</v>
      </c>
      <c r="C1" s="444"/>
      <c r="D1" s="444"/>
      <c r="E1" s="444"/>
      <c r="F1" s="444"/>
      <c r="G1" s="444"/>
      <c r="H1" s="444"/>
      <c r="I1" s="444"/>
      <c r="J1" s="444"/>
      <c r="K1" s="444"/>
      <c r="L1" s="543"/>
    </row>
    <row r="2" spans="1:12" s="439" customFormat="1" ht="18.75" customHeight="1">
      <c r="A2" s="543"/>
      <c r="B2" s="444"/>
      <c r="C2" s="444"/>
      <c r="D2" s="444"/>
      <c r="E2" s="444"/>
      <c r="F2" s="444"/>
      <c r="G2" s="444"/>
      <c r="H2" s="444"/>
      <c r="I2" s="444"/>
      <c r="J2" s="444"/>
      <c r="K2" s="444"/>
      <c r="L2" s="543"/>
    </row>
    <row r="3" spans="1:12" s="439" customFormat="1" ht="18.75" customHeight="1">
      <c r="A3" s="543"/>
      <c r="B3" s="544" t="s">
        <v>240</v>
      </c>
      <c r="C3" s="544"/>
      <c r="D3" s="544"/>
      <c r="E3" s="544"/>
      <c r="F3" s="544"/>
      <c r="G3" s="544"/>
      <c r="H3" s="544"/>
      <c r="I3" s="544"/>
      <c r="J3" s="544"/>
      <c r="K3" s="544"/>
      <c r="L3" s="543"/>
    </row>
    <row r="4" spans="1:12" s="439" customFormat="1" ht="9.75" customHeight="1">
      <c r="A4" s="543"/>
      <c r="B4" s="545"/>
      <c r="C4" s="545"/>
      <c r="D4" s="545"/>
      <c r="E4" s="545"/>
      <c r="F4" s="545"/>
      <c r="G4" s="545"/>
      <c r="H4" s="545"/>
      <c r="I4" s="545"/>
      <c r="J4" s="545"/>
      <c r="K4" s="545"/>
      <c r="L4" s="543"/>
    </row>
    <row r="5" spans="1:12" s="439" customFormat="1" ht="22.5" customHeight="1">
      <c r="A5" s="543"/>
      <c r="B5" s="546" t="s">
        <v>2</v>
      </c>
      <c r="C5" s="547" t="s">
        <v>4</v>
      </c>
      <c r="D5" s="548" t="s">
        <v>5</v>
      </c>
      <c r="E5" s="548" t="s">
        <v>6</v>
      </c>
      <c r="F5" s="549" t="s">
        <v>241</v>
      </c>
      <c r="G5" s="549"/>
      <c r="H5" s="549"/>
      <c r="I5" s="549" t="s">
        <v>242</v>
      </c>
      <c r="J5" s="549"/>
      <c r="K5" s="563" t="s">
        <v>243</v>
      </c>
      <c r="L5" s="543"/>
    </row>
    <row r="6" spans="1:12" s="439" customFormat="1" ht="22.5" customHeight="1">
      <c r="A6" s="543"/>
      <c r="B6" s="546"/>
      <c r="C6" s="547"/>
      <c r="D6" s="548"/>
      <c r="E6" s="548"/>
      <c r="F6" s="550" t="s">
        <v>244</v>
      </c>
      <c r="G6" s="550" t="s">
        <v>245</v>
      </c>
      <c r="H6" s="550" t="s">
        <v>238</v>
      </c>
      <c r="I6" s="550" t="s">
        <v>246</v>
      </c>
      <c r="J6" s="550" t="s">
        <v>247</v>
      </c>
      <c r="K6" s="564" t="s">
        <v>247</v>
      </c>
      <c r="L6" s="543"/>
    </row>
    <row r="7" spans="1:12" s="439" customFormat="1" ht="17.25" customHeight="1">
      <c r="A7" s="543"/>
      <c r="B7" s="551" t="s">
        <v>248</v>
      </c>
      <c r="C7" s="551"/>
      <c r="D7" s="551"/>
      <c r="E7" s="551"/>
      <c r="F7" s="551"/>
      <c r="G7" s="551"/>
      <c r="H7" s="551"/>
      <c r="I7" s="551"/>
      <c r="J7" s="551"/>
      <c r="K7" s="551"/>
      <c r="L7" s="543"/>
    </row>
    <row r="8" spans="1:12" s="439" customFormat="1" ht="17.25" customHeight="1">
      <c r="A8" s="543"/>
      <c r="B8" s="552" t="s">
        <v>10</v>
      </c>
      <c r="C8" s="553" t="s">
        <v>12</v>
      </c>
      <c r="D8" s="554" t="s">
        <v>13</v>
      </c>
      <c r="E8" s="554">
        <v>180</v>
      </c>
      <c r="F8" s="555">
        <v>9.53</v>
      </c>
      <c r="G8" s="555">
        <f>ROUND(F8*(1+(insumos!E$37/100)),2)</f>
        <v>11.67</v>
      </c>
      <c r="H8" s="556">
        <f aca="true" t="shared" si="0" ref="H8:H23">ROUND(G8*E8,2)</f>
        <v>2100.6</v>
      </c>
      <c r="I8" s="565" t="e">
        <f aca="true" t="shared" si="1" ref="I8:I23">ROUND(H8/H$24*I$24,2)</f>
        <v>#REF!</v>
      </c>
      <c r="J8" s="565" t="e">
        <f aca="true" t="shared" si="2" ref="J8:J23">ROUND(I8/E8,2)</f>
        <v>#REF!</v>
      </c>
      <c r="K8" s="566" t="e">
        <f aca="true" t="shared" si="3" ref="K8:K23">G8+J8</f>
        <v>#REF!</v>
      </c>
      <c r="L8" s="543"/>
    </row>
    <row r="9" spans="1:12" s="439" customFormat="1" ht="17.25" customHeight="1">
      <c r="A9" s="543"/>
      <c r="B9" s="552" t="s">
        <v>14</v>
      </c>
      <c r="C9" s="553" t="s">
        <v>16</v>
      </c>
      <c r="D9" s="554" t="s">
        <v>13</v>
      </c>
      <c r="E9" s="554">
        <v>180</v>
      </c>
      <c r="F9" s="555">
        <v>13.37</v>
      </c>
      <c r="G9" s="555">
        <f>ROUND(F9*(1+(insumos!E$37/100)),2)</f>
        <v>16.38</v>
      </c>
      <c r="H9" s="556">
        <f t="shared" si="0"/>
        <v>2948.4</v>
      </c>
      <c r="I9" s="565" t="e">
        <f t="shared" si="1"/>
        <v>#REF!</v>
      </c>
      <c r="J9" s="565" t="e">
        <f t="shared" si="2"/>
        <v>#REF!</v>
      </c>
      <c r="K9" s="566" t="e">
        <f t="shared" si="3"/>
        <v>#REF!</v>
      </c>
      <c r="L9" s="543"/>
    </row>
    <row r="10" spans="1:12" s="439" customFormat="1" ht="17.25" customHeight="1">
      <c r="A10" s="543"/>
      <c r="B10" s="552" t="s">
        <v>17</v>
      </c>
      <c r="C10" s="553" t="s">
        <v>19</v>
      </c>
      <c r="D10" s="554" t="s">
        <v>20</v>
      </c>
      <c r="E10" s="554">
        <v>70</v>
      </c>
      <c r="F10" s="555">
        <v>95.3</v>
      </c>
      <c r="G10" s="555">
        <f>ROUND(F10*(1+(insumos!E$37/100)),2)</f>
        <v>116.74</v>
      </c>
      <c r="H10" s="556">
        <f t="shared" si="0"/>
        <v>8171.8</v>
      </c>
      <c r="I10" s="565" t="e">
        <f t="shared" si="1"/>
        <v>#REF!</v>
      </c>
      <c r="J10" s="565" t="e">
        <f t="shared" si="2"/>
        <v>#REF!</v>
      </c>
      <c r="K10" s="566" t="e">
        <f t="shared" si="3"/>
        <v>#REF!</v>
      </c>
      <c r="L10" s="543"/>
    </row>
    <row r="11" spans="1:12" s="439" customFormat="1" ht="17.25" customHeight="1">
      <c r="A11" s="543"/>
      <c r="B11" s="552" t="s">
        <v>21</v>
      </c>
      <c r="C11" s="553" t="s">
        <v>23</v>
      </c>
      <c r="D11" s="554" t="s">
        <v>20</v>
      </c>
      <c r="E11" s="554">
        <v>20</v>
      </c>
      <c r="F11" s="555">
        <v>131.96</v>
      </c>
      <c r="G11" s="555">
        <f>ROUND(F11*(1+(insumos!E$37/100)),2)</f>
        <v>161.65</v>
      </c>
      <c r="H11" s="556">
        <f t="shared" si="0"/>
        <v>3233</v>
      </c>
      <c r="I11" s="565" t="e">
        <f t="shared" si="1"/>
        <v>#REF!</v>
      </c>
      <c r="J11" s="565" t="e">
        <f t="shared" si="2"/>
        <v>#REF!</v>
      </c>
      <c r="K11" s="566" t="e">
        <f t="shared" si="3"/>
        <v>#REF!</v>
      </c>
      <c r="L11" s="543"/>
    </row>
    <row r="12" spans="1:12" s="439" customFormat="1" ht="17.25" customHeight="1">
      <c r="A12" s="543"/>
      <c r="B12" s="552" t="s">
        <v>24</v>
      </c>
      <c r="C12" s="553" t="s">
        <v>26</v>
      </c>
      <c r="D12" s="554" t="s">
        <v>13</v>
      </c>
      <c r="E12" s="554">
        <v>300</v>
      </c>
      <c r="F12" s="555">
        <v>8.41</v>
      </c>
      <c r="G12" s="555">
        <f>ROUND(F12*(1+(insumos!E$37/100)),2)</f>
        <v>10.3</v>
      </c>
      <c r="H12" s="556">
        <f t="shared" si="0"/>
        <v>3090</v>
      </c>
      <c r="I12" s="565" t="e">
        <f t="shared" si="1"/>
        <v>#REF!</v>
      </c>
      <c r="J12" s="565" t="e">
        <f t="shared" si="2"/>
        <v>#REF!</v>
      </c>
      <c r="K12" s="566" t="e">
        <f t="shared" si="3"/>
        <v>#REF!</v>
      </c>
      <c r="L12" s="543"/>
    </row>
    <row r="13" spans="1:12" s="439" customFormat="1" ht="17.25" customHeight="1">
      <c r="A13" s="543"/>
      <c r="B13" s="552" t="s">
        <v>27</v>
      </c>
      <c r="C13" s="553" t="s">
        <v>29</v>
      </c>
      <c r="D13" s="554" t="s">
        <v>13</v>
      </c>
      <c r="E13" s="554">
        <v>150</v>
      </c>
      <c r="F13" s="555">
        <v>11.01</v>
      </c>
      <c r="G13" s="555">
        <f>ROUND(F13*(1+(insumos!E$37/100)),2)</f>
        <v>13.49</v>
      </c>
      <c r="H13" s="556">
        <f t="shared" si="0"/>
        <v>2023.5</v>
      </c>
      <c r="I13" s="565" t="e">
        <f t="shared" si="1"/>
        <v>#REF!</v>
      </c>
      <c r="J13" s="565" t="e">
        <f t="shared" si="2"/>
        <v>#REF!</v>
      </c>
      <c r="K13" s="566" t="e">
        <f t="shared" si="3"/>
        <v>#REF!</v>
      </c>
      <c r="L13" s="543"/>
    </row>
    <row r="14" spans="1:12" s="439" customFormat="1" ht="17.25" customHeight="1">
      <c r="A14" s="543"/>
      <c r="B14" s="552" t="s">
        <v>30</v>
      </c>
      <c r="C14" s="553" t="s">
        <v>32</v>
      </c>
      <c r="D14" s="554" t="s">
        <v>13</v>
      </c>
      <c r="E14" s="554">
        <v>120</v>
      </c>
      <c r="F14" s="555">
        <v>5.63</v>
      </c>
      <c r="G14" s="555">
        <f>ROUND(F14*(1+(insumos!E$37/100)),2)</f>
        <v>6.9</v>
      </c>
      <c r="H14" s="556">
        <f t="shared" si="0"/>
        <v>828</v>
      </c>
      <c r="I14" s="565" t="e">
        <f t="shared" si="1"/>
        <v>#REF!</v>
      </c>
      <c r="J14" s="565" t="e">
        <f t="shared" si="2"/>
        <v>#REF!</v>
      </c>
      <c r="K14" s="566" t="e">
        <f t="shared" si="3"/>
        <v>#REF!</v>
      </c>
      <c r="L14" s="543"/>
    </row>
    <row r="15" spans="1:12" s="439" customFormat="1" ht="17.25" customHeight="1">
      <c r="A15" s="543"/>
      <c r="B15" s="552" t="s">
        <v>33</v>
      </c>
      <c r="C15" s="553" t="s">
        <v>249</v>
      </c>
      <c r="D15" s="554" t="s">
        <v>36</v>
      </c>
      <c r="E15" s="554">
        <v>240</v>
      </c>
      <c r="F15" s="555">
        <v>1.49</v>
      </c>
      <c r="G15" s="555">
        <f>ROUND(F15*(1+(insumos!E$37/100)),2)</f>
        <v>1.83</v>
      </c>
      <c r="H15" s="556">
        <f t="shared" si="0"/>
        <v>439.2</v>
      </c>
      <c r="I15" s="565" t="e">
        <f t="shared" si="1"/>
        <v>#REF!</v>
      </c>
      <c r="J15" s="565" t="e">
        <f t="shared" si="2"/>
        <v>#REF!</v>
      </c>
      <c r="K15" s="566" t="e">
        <f t="shared" si="3"/>
        <v>#REF!</v>
      </c>
      <c r="L15" s="543"/>
    </row>
    <row r="16" spans="1:12" s="439" customFormat="1" ht="17.25" customHeight="1">
      <c r="A16" s="543"/>
      <c r="B16" s="552" t="s">
        <v>37</v>
      </c>
      <c r="C16" s="553" t="s">
        <v>39</v>
      </c>
      <c r="D16" s="554" t="s">
        <v>36</v>
      </c>
      <c r="E16" s="554">
        <v>240</v>
      </c>
      <c r="F16" s="555">
        <v>1.42</v>
      </c>
      <c r="G16" s="555">
        <f>ROUND(F16*(1+(insumos!E$37/100)),2)</f>
        <v>1.74</v>
      </c>
      <c r="H16" s="556">
        <f t="shared" si="0"/>
        <v>417.6</v>
      </c>
      <c r="I16" s="565" t="e">
        <f t="shared" si="1"/>
        <v>#REF!</v>
      </c>
      <c r="J16" s="565" t="e">
        <f t="shared" si="2"/>
        <v>#REF!</v>
      </c>
      <c r="K16" s="566" t="e">
        <f t="shared" si="3"/>
        <v>#REF!</v>
      </c>
      <c r="L16" s="543"/>
    </row>
    <row r="17" spans="1:12" s="439" customFormat="1" ht="28.5">
      <c r="A17" s="543"/>
      <c r="B17" s="552" t="s">
        <v>40</v>
      </c>
      <c r="C17" s="553" t="s">
        <v>42</v>
      </c>
      <c r="D17" s="557" t="s">
        <v>43</v>
      </c>
      <c r="E17" s="554">
        <v>3</v>
      </c>
      <c r="F17" s="555">
        <v>761.65</v>
      </c>
      <c r="G17" s="555">
        <f>ROUND(F17*(1+(insumos!E$37/100)),2)</f>
        <v>933.01</v>
      </c>
      <c r="H17" s="556">
        <f t="shared" si="0"/>
        <v>2799.03</v>
      </c>
      <c r="I17" s="565" t="e">
        <f t="shared" si="1"/>
        <v>#REF!</v>
      </c>
      <c r="J17" s="565" t="e">
        <f t="shared" si="2"/>
        <v>#REF!</v>
      </c>
      <c r="K17" s="566" t="e">
        <f t="shared" si="3"/>
        <v>#REF!</v>
      </c>
      <c r="L17" s="543"/>
    </row>
    <row r="18" spans="1:12" s="439" customFormat="1" ht="40.5" customHeight="1">
      <c r="A18" s="543"/>
      <c r="B18" s="552" t="s">
        <v>44</v>
      </c>
      <c r="C18" s="558" t="s">
        <v>46</v>
      </c>
      <c r="D18" s="557" t="s">
        <v>20</v>
      </c>
      <c r="E18" s="557">
        <v>180</v>
      </c>
      <c r="F18" s="555">
        <v>34.57</v>
      </c>
      <c r="G18" s="555">
        <f>ROUND(F18*(1+(insumos!E$37/100)),2)</f>
        <v>42.35</v>
      </c>
      <c r="H18" s="556">
        <f t="shared" si="0"/>
        <v>7623</v>
      </c>
      <c r="I18" s="565" t="e">
        <f t="shared" si="1"/>
        <v>#REF!</v>
      </c>
      <c r="J18" s="565" t="e">
        <f t="shared" si="2"/>
        <v>#REF!</v>
      </c>
      <c r="K18" s="566" t="e">
        <f t="shared" si="3"/>
        <v>#REF!</v>
      </c>
      <c r="L18" s="543"/>
    </row>
    <row r="19" spans="1:12" s="439" customFormat="1" ht="17.25" customHeight="1">
      <c r="A19" s="543"/>
      <c r="B19" s="552" t="s">
        <v>47</v>
      </c>
      <c r="C19" s="558" t="s">
        <v>49</v>
      </c>
      <c r="D19" s="557" t="s">
        <v>36</v>
      </c>
      <c r="E19" s="557">
        <v>180</v>
      </c>
      <c r="F19" s="555">
        <v>19.49</v>
      </c>
      <c r="G19" s="555">
        <f>ROUND(F19*(1+(insumos!E$37/100)),2)</f>
        <v>23.88</v>
      </c>
      <c r="H19" s="556">
        <f t="shared" si="0"/>
        <v>4298.4</v>
      </c>
      <c r="I19" s="565" t="e">
        <f t="shared" si="1"/>
        <v>#REF!</v>
      </c>
      <c r="J19" s="565" t="e">
        <f t="shared" si="2"/>
        <v>#REF!</v>
      </c>
      <c r="K19" s="566" t="e">
        <f t="shared" si="3"/>
        <v>#REF!</v>
      </c>
      <c r="L19" s="543"/>
    </row>
    <row r="20" spans="1:12" s="439" customFormat="1" ht="17.25" customHeight="1">
      <c r="A20" s="543"/>
      <c r="B20" s="552" t="s">
        <v>50</v>
      </c>
      <c r="C20" s="558" t="s">
        <v>49</v>
      </c>
      <c r="D20" s="557" t="s">
        <v>36</v>
      </c>
      <c r="E20" s="557">
        <v>180</v>
      </c>
      <c r="F20" s="555">
        <v>24.19</v>
      </c>
      <c r="G20" s="555">
        <f>ROUND(F20*(1+(insumos!E$37/100)),2)</f>
        <v>29.63</v>
      </c>
      <c r="H20" s="556">
        <f t="shared" si="0"/>
        <v>5333.4</v>
      </c>
      <c r="I20" s="565" t="e">
        <f t="shared" si="1"/>
        <v>#REF!</v>
      </c>
      <c r="J20" s="565" t="e">
        <f t="shared" si="2"/>
        <v>#REF!</v>
      </c>
      <c r="K20" s="566" t="e">
        <f t="shared" si="3"/>
        <v>#REF!</v>
      </c>
      <c r="L20" s="543"/>
    </row>
    <row r="21" spans="1:12" s="439" customFormat="1" ht="17.25" customHeight="1">
      <c r="A21" s="543"/>
      <c r="B21" s="552" t="s">
        <v>52</v>
      </c>
      <c r="C21" s="558" t="s">
        <v>54</v>
      </c>
      <c r="D21" s="557" t="s">
        <v>36</v>
      </c>
      <c r="E21" s="557">
        <v>100</v>
      </c>
      <c r="F21" s="555">
        <v>40.1</v>
      </c>
      <c r="G21" s="555">
        <f>ROUND(F21*(1+(insumos!E$37/100)),2)</f>
        <v>49.12</v>
      </c>
      <c r="H21" s="556">
        <f t="shared" si="0"/>
        <v>4912</v>
      </c>
      <c r="I21" s="565" t="e">
        <f t="shared" si="1"/>
        <v>#REF!</v>
      </c>
      <c r="J21" s="565" t="e">
        <f t="shared" si="2"/>
        <v>#REF!</v>
      </c>
      <c r="K21" s="566" t="e">
        <f t="shared" si="3"/>
        <v>#REF!</v>
      </c>
      <c r="L21" s="543"/>
    </row>
    <row r="22" spans="1:12" s="439" customFormat="1" ht="17.25" customHeight="1">
      <c r="A22" s="543"/>
      <c r="B22" s="552" t="s">
        <v>55</v>
      </c>
      <c r="C22" s="558" t="s">
        <v>57</v>
      </c>
      <c r="D22" s="557" t="s">
        <v>36</v>
      </c>
      <c r="E22" s="557">
        <v>50</v>
      </c>
      <c r="F22" s="555">
        <v>57.17</v>
      </c>
      <c r="G22" s="555">
        <f>ROUND(F22*(1+(insumos!E$37/100)),2)</f>
        <v>70.03</v>
      </c>
      <c r="H22" s="556">
        <f t="shared" si="0"/>
        <v>3501.5</v>
      </c>
      <c r="I22" s="565" t="e">
        <f t="shared" si="1"/>
        <v>#REF!</v>
      </c>
      <c r="J22" s="565" t="e">
        <f t="shared" si="2"/>
        <v>#REF!</v>
      </c>
      <c r="K22" s="566" t="e">
        <f t="shared" si="3"/>
        <v>#REF!</v>
      </c>
      <c r="L22" s="543"/>
    </row>
    <row r="23" spans="1:12" s="439" customFormat="1" ht="17.25" customHeight="1">
      <c r="A23" s="543"/>
      <c r="B23" s="552" t="s">
        <v>58</v>
      </c>
      <c r="C23" s="558" t="s">
        <v>60</v>
      </c>
      <c r="D23" s="557" t="s">
        <v>36</v>
      </c>
      <c r="E23" s="557">
        <v>30</v>
      </c>
      <c r="F23" s="555">
        <v>94.1</v>
      </c>
      <c r="G23" s="555">
        <f>ROUND(F23*(1+(insumos!E$37/100)),2)</f>
        <v>115.27</v>
      </c>
      <c r="H23" s="556">
        <f t="shared" si="0"/>
        <v>3458.1</v>
      </c>
      <c r="I23" s="565" t="e">
        <f t="shared" si="1"/>
        <v>#REF!</v>
      </c>
      <c r="J23" s="565" t="e">
        <f t="shared" si="2"/>
        <v>#REF!</v>
      </c>
      <c r="K23" s="566" t="e">
        <f t="shared" si="3"/>
        <v>#REF!</v>
      </c>
      <c r="L23" s="543"/>
    </row>
    <row r="24" spans="1:12" s="439" customFormat="1" ht="17.25" customHeight="1">
      <c r="A24" s="543"/>
      <c r="B24" s="559" t="s">
        <v>250</v>
      </c>
      <c r="C24" s="559"/>
      <c r="D24" s="559"/>
      <c r="E24" s="559"/>
      <c r="F24" s="559"/>
      <c r="G24" s="559"/>
      <c r="H24" s="560">
        <f>SUM(H8:H23)</f>
        <v>55177.53</v>
      </c>
      <c r="I24" s="567" t="e">
        <f>ROUND(H24/H$92*I$92,2)</f>
        <v>#REF!</v>
      </c>
      <c r="J24" s="568"/>
      <c r="K24" s="568"/>
      <c r="L24" s="543"/>
    </row>
    <row r="25" spans="1:12" s="439" customFormat="1" ht="17.25" customHeight="1">
      <c r="A25" s="543"/>
      <c r="B25" s="551" t="s">
        <v>251</v>
      </c>
      <c r="C25" s="551"/>
      <c r="D25" s="551"/>
      <c r="E25" s="551"/>
      <c r="F25" s="551"/>
      <c r="G25" s="551"/>
      <c r="H25" s="551"/>
      <c r="I25" s="551"/>
      <c r="J25" s="551"/>
      <c r="K25" s="551"/>
      <c r="L25" s="543"/>
    </row>
    <row r="26" spans="1:12" s="439" customFormat="1" ht="42.75">
      <c r="A26" s="543"/>
      <c r="B26" s="552" t="s">
        <v>63</v>
      </c>
      <c r="C26" s="553" t="s">
        <v>65</v>
      </c>
      <c r="D26" s="554" t="s">
        <v>36</v>
      </c>
      <c r="E26" s="554">
        <v>60</v>
      </c>
      <c r="F26" s="555">
        <v>8.59</v>
      </c>
      <c r="G26" s="555">
        <f>ROUND(F26*(1+(insumos!E$37/100)),2)</f>
        <v>10.52</v>
      </c>
      <c r="H26" s="556">
        <f aca="true" t="shared" si="4" ref="H26:H29">ROUND(G26*E26,2)</f>
        <v>631.2</v>
      </c>
      <c r="I26" s="565" t="e">
        <f>ROUND(H26/H$30*I$30,2)</f>
        <v>#REF!</v>
      </c>
      <c r="J26" s="565" t="e">
        <f aca="true" t="shared" si="5" ref="J26:J29">ROUND(I26/E26,2)</f>
        <v>#REF!</v>
      </c>
      <c r="K26" s="566" t="e">
        <f aca="true" t="shared" si="6" ref="K26:K29">G26+J26</f>
        <v>#REF!</v>
      </c>
      <c r="L26" s="543"/>
    </row>
    <row r="27" spans="1:12" s="439" customFormat="1" ht="17.25" customHeight="1">
      <c r="A27" s="543"/>
      <c r="B27" s="552" t="s">
        <v>66</v>
      </c>
      <c r="C27" s="553" t="s">
        <v>68</v>
      </c>
      <c r="D27" s="557" t="s">
        <v>43</v>
      </c>
      <c r="E27" s="554">
        <v>18</v>
      </c>
      <c r="F27" s="555">
        <v>290</v>
      </c>
      <c r="G27" s="555">
        <f>ROUND(F27*(1+(insumos!E$37/100)),2)</f>
        <v>355.25</v>
      </c>
      <c r="H27" s="556">
        <f t="shared" si="4"/>
        <v>6394.5</v>
      </c>
      <c r="I27" s="565" t="e">
        <f aca="true" t="shared" si="7" ref="I27:I30">ROUND(H27/H$92*I$92,2)</f>
        <v>#REF!</v>
      </c>
      <c r="J27" s="565" t="e">
        <f t="shared" si="5"/>
        <v>#REF!</v>
      </c>
      <c r="K27" s="566" t="e">
        <f t="shared" si="6"/>
        <v>#REF!</v>
      </c>
      <c r="L27" s="543"/>
    </row>
    <row r="28" spans="1:12" s="439" customFormat="1" ht="17.25" customHeight="1">
      <c r="A28" s="543"/>
      <c r="B28" s="552" t="s">
        <v>69</v>
      </c>
      <c r="C28" s="553" t="s">
        <v>71</v>
      </c>
      <c r="D28" s="557" t="s">
        <v>43</v>
      </c>
      <c r="E28" s="554">
        <v>9</v>
      </c>
      <c r="F28" s="555">
        <v>33.34</v>
      </c>
      <c r="G28" s="555">
        <f>ROUND(F28*(1+(insumos!E$37/100)),2)</f>
        <v>40.84</v>
      </c>
      <c r="H28" s="556">
        <f t="shared" si="4"/>
        <v>367.56</v>
      </c>
      <c r="I28" s="565" t="e">
        <f t="shared" si="7"/>
        <v>#REF!</v>
      </c>
      <c r="J28" s="565" t="e">
        <f t="shared" si="5"/>
        <v>#REF!</v>
      </c>
      <c r="K28" s="566" t="e">
        <f t="shared" si="6"/>
        <v>#REF!</v>
      </c>
      <c r="L28" s="543"/>
    </row>
    <row r="29" spans="1:12" s="439" customFormat="1" ht="17.25" customHeight="1">
      <c r="A29" s="543"/>
      <c r="B29" s="552" t="s">
        <v>72</v>
      </c>
      <c r="C29" s="553" t="s">
        <v>74</v>
      </c>
      <c r="D29" s="554" t="s">
        <v>13</v>
      </c>
      <c r="E29" s="554">
        <v>24</v>
      </c>
      <c r="F29" s="555">
        <v>160.78</v>
      </c>
      <c r="G29" s="555">
        <f>ROUND(F29*(1+(insumos!E$37/100)),2)</f>
        <v>196.95</v>
      </c>
      <c r="H29" s="556">
        <f t="shared" si="4"/>
        <v>4726.8</v>
      </c>
      <c r="I29" s="565" t="e">
        <f t="shared" si="7"/>
        <v>#REF!</v>
      </c>
      <c r="J29" s="565" t="e">
        <f t="shared" si="5"/>
        <v>#REF!</v>
      </c>
      <c r="K29" s="566" t="e">
        <f t="shared" si="6"/>
        <v>#REF!</v>
      </c>
      <c r="L29" s="543"/>
    </row>
    <row r="30" spans="1:12" s="439" customFormat="1" ht="17.25" customHeight="1">
      <c r="A30" s="543"/>
      <c r="B30" s="559" t="s">
        <v>252</v>
      </c>
      <c r="C30" s="559"/>
      <c r="D30" s="559"/>
      <c r="E30" s="559"/>
      <c r="F30" s="559"/>
      <c r="G30" s="559"/>
      <c r="H30" s="560">
        <f>SUM(H26:H29)</f>
        <v>12120.060000000001</v>
      </c>
      <c r="I30" s="567" t="e">
        <f t="shared" si="7"/>
        <v>#REF!</v>
      </c>
      <c r="J30" s="568"/>
      <c r="K30" s="568"/>
      <c r="L30" s="543"/>
    </row>
    <row r="31" spans="1:12" s="439" customFormat="1" ht="17.25" customHeight="1">
      <c r="A31" s="543"/>
      <c r="B31" s="551" t="s">
        <v>253</v>
      </c>
      <c r="C31" s="551"/>
      <c r="D31" s="551"/>
      <c r="E31" s="551"/>
      <c r="F31" s="551"/>
      <c r="G31" s="551"/>
      <c r="H31" s="551"/>
      <c r="I31" s="551"/>
      <c r="J31" s="551"/>
      <c r="K31" s="551"/>
      <c r="L31" s="543"/>
    </row>
    <row r="32" spans="1:12" s="439" customFormat="1" ht="17.25" customHeight="1">
      <c r="A32" s="543"/>
      <c r="B32" s="552" t="s">
        <v>77</v>
      </c>
      <c r="C32" s="553" t="s">
        <v>79</v>
      </c>
      <c r="D32" s="554" t="s">
        <v>20</v>
      </c>
      <c r="E32" s="554">
        <v>90</v>
      </c>
      <c r="F32" s="555">
        <v>14.23</v>
      </c>
      <c r="G32" s="555">
        <f>ROUND(F32*(1+(insumos!E$37/100)),2)</f>
        <v>17.43</v>
      </c>
      <c r="H32" s="556">
        <f aca="true" t="shared" si="8" ref="H32:H40">ROUND(G32*E32,2)</f>
        <v>1568.7</v>
      </c>
      <c r="I32" s="565" t="e">
        <f aca="true" t="shared" si="9" ref="I32:I40">ROUND(H32/H$41*I$41,2)</f>
        <v>#REF!</v>
      </c>
      <c r="J32" s="565" t="e">
        <f aca="true" t="shared" si="10" ref="J32:J40">ROUND(I32/E32,2)</f>
        <v>#REF!</v>
      </c>
      <c r="K32" s="566" t="e">
        <f aca="true" t="shared" si="11" ref="K32:K40">G32+J32</f>
        <v>#REF!</v>
      </c>
      <c r="L32" s="543"/>
    </row>
    <row r="33" spans="1:12" s="439" customFormat="1" ht="17.25" customHeight="1">
      <c r="A33" s="543"/>
      <c r="B33" s="552" t="s">
        <v>80</v>
      </c>
      <c r="C33" s="553" t="s">
        <v>82</v>
      </c>
      <c r="D33" s="554" t="s">
        <v>20</v>
      </c>
      <c r="E33" s="554">
        <v>280</v>
      </c>
      <c r="F33" s="555">
        <v>5.53</v>
      </c>
      <c r="G33" s="555">
        <f>ROUND(F33*(1+(insumos!E$37/100)),2)</f>
        <v>6.77</v>
      </c>
      <c r="H33" s="556">
        <f t="shared" si="8"/>
        <v>1895.6</v>
      </c>
      <c r="I33" s="565" t="e">
        <f t="shared" si="9"/>
        <v>#REF!</v>
      </c>
      <c r="J33" s="565" t="e">
        <f t="shared" si="10"/>
        <v>#REF!</v>
      </c>
      <c r="K33" s="566" t="e">
        <f t="shared" si="11"/>
        <v>#REF!</v>
      </c>
      <c r="L33" s="543"/>
    </row>
    <row r="34" spans="1:12" s="439" customFormat="1" ht="17.25" customHeight="1">
      <c r="A34" s="543"/>
      <c r="B34" s="552" t="s">
        <v>83</v>
      </c>
      <c r="C34" s="553" t="s">
        <v>85</v>
      </c>
      <c r="D34" s="554" t="s">
        <v>20</v>
      </c>
      <c r="E34" s="554">
        <v>480</v>
      </c>
      <c r="F34" s="555">
        <v>14.23</v>
      </c>
      <c r="G34" s="555">
        <f>ROUND(F34*(1+(insumos!E$37/100)),2)</f>
        <v>17.43</v>
      </c>
      <c r="H34" s="556">
        <f t="shared" si="8"/>
        <v>8366.4</v>
      </c>
      <c r="I34" s="565" t="e">
        <f t="shared" si="9"/>
        <v>#REF!</v>
      </c>
      <c r="J34" s="565" t="e">
        <f t="shared" si="10"/>
        <v>#REF!</v>
      </c>
      <c r="K34" s="566" t="e">
        <f t="shared" si="11"/>
        <v>#REF!</v>
      </c>
      <c r="L34" s="543"/>
    </row>
    <row r="35" spans="1:12" s="439" customFormat="1" ht="28.5">
      <c r="A35" s="543"/>
      <c r="B35" s="552" t="s">
        <v>86</v>
      </c>
      <c r="C35" s="553" t="s">
        <v>88</v>
      </c>
      <c r="D35" s="554" t="s">
        <v>20</v>
      </c>
      <c r="E35" s="554">
        <v>480</v>
      </c>
      <c r="F35" s="555">
        <v>2.62</v>
      </c>
      <c r="G35" s="555">
        <f>ROUND(F35*(1+(insumos!E$37/100)),2)</f>
        <v>3.21</v>
      </c>
      <c r="H35" s="556">
        <f t="shared" si="8"/>
        <v>1540.8</v>
      </c>
      <c r="I35" s="565" t="e">
        <f t="shared" si="9"/>
        <v>#REF!</v>
      </c>
      <c r="J35" s="565" t="e">
        <f t="shared" si="10"/>
        <v>#REF!</v>
      </c>
      <c r="K35" s="566" t="e">
        <f t="shared" si="11"/>
        <v>#REF!</v>
      </c>
      <c r="L35" s="543"/>
    </row>
    <row r="36" spans="1:12" s="439" customFormat="1" ht="17.25" customHeight="1">
      <c r="A36" s="543"/>
      <c r="B36" s="552" t="s">
        <v>89</v>
      </c>
      <c r="C36" s="553" t="s">
        <v>91</v>
      </c>
      <c r="D36" s="554" t="s">
        <v>20</v>
      </c>
      <c r="E36" s="554">
        <v>300</v>
      </c>
      <c r="F36" s="555">
        <v>28.56</v>
      </c>
      <c r="G36" s="555">
        <f>ROUND(F36*(1+(insumos!E$37/100)),2)</f>
        <v>34.99</v>
      </c>
      <c r="H36" s="556">
        <f t="shared" si="8"/>
        <v>10497</v>
      </c>
      <c r="I36" s="565" t="e">
        <f t="shared" si="9"/>
        <v>#REF!</v>
      </c>
      <c r="J36" s="565" t="e">
        <f t="shared" si="10"/>
        <v>#REF!</v>
      </c>
      <c r="K36" s="566" t="e">
        <f t="shared" si="11"/>
        <v>#REF!</v>
      </c>
      <c r="L36" s="543"/>
    </row>
    <row r="37" spans="1:12" s="439" customFormat="1" ht="17.25" customHeight="1">
      <c r="A37" s="543"/>
      <c r="B37" s="552" t="s">
        <v>92</v>
      </c>
      <c r="C37" s="558" t="s">
        <v>94</v>
      </c>
      <c r="D37" s="557" t="s">
        <v>20</v>
      </c>
      <c r="E37" s="557">
        <v>950</v>
      </c>
      <c r="F37" s="555">
        <v>33.98</v>
      </c>
      <c r="G37" s="555">
        <f>ROUND(F37*(1+(insumos!E$37/100)),2)</f>
        <v>41.63</v>
      </c>
      <c r="H37" s="556">
        <f t="shared" si="8"/>
        <v>39548.5</v>
      </c>
      <c r="I37" s="565" t="e">
        <f t="shared" si="9"/>
        <v>#REF!</v>
      </c>
      <c r="J37" s="565" t="e">
        <f t="shared" si="10"/>
        <v>#REF!</v>
      </c>
      <c r="K37" s="566" t="e">
        <f t="shared" si="11"/>
        <v>#REF!</v>
      </c>
      <c r="L37" s="543"/>
    </row>
    <row r="38" spans="1:12" s="439" customFormat="1" ht="17.25" customHeight="1">
      <c r="A38" s="543"/>
      <c r="B38" s="552" t="s">
        <v>95</v>
      </c>
      <c r="C38" s="558" t="s">
        <v>97</v>
      </c>
      <c r="D38" s="557" t="s">
        <v>20</v>
      </c>
      <c r="E38" s="557">
        <v>30</v>
      </c>
      <c r="F38" s="555">
        <v>38.42</v>
      </c>
      <c r="G38" s="555">
        <f>ROUND(F38*(1+(insumos!E$37/100)),2)</f>
        <v>47.06</v>
      </c>
      <c r="H38" s="556">
        <f t="shared" si="8"/>
        <v>1411.8</v>
      </c>
      <c r="I38" s="565" t="e">
        <f t="shared" si="9"/>
        <v>#REF!</v>
      </c>
      <c r="J38" s="565" t="e">
        <f t="shared" si="10"/>
        <v>#REF!</v>
      </c>
      <c r="K38" s="566" t="e">
        <f t="shared" si="11"/>
        <v>#REF!</v>
      </c>
      <c r="L38" s="543"/>
    </row>
    <row r="39" spans="1:12" s="439" customFormat="1" ht="17.25" customHeight="1">
      <c r="A39" s="543"/>
      <c r="B39" s="552" t="s">
        <v>98</v>
      </c>
      <c r="C39" s="558" t="s">
        <v>100</v>
      </c>
      <c r="D39" s="557" t="s">
        <v>20</v>
      </c>
      <c r="E39" s="557">
        <v>60</v>
      </c>
      <c r="F39" s="555">
        <v>43.42</v>
      </c>
      <c r="G39" s="555">
        <f>ROUND(F39*(1+(insumos!E$37/100)),2)</f>
        <v>53.19</v>
      </c>
      <c r="H39" s="556">
        <f t="shared" si="8"/>
        <v>3191.4</v>
      </c>
      <c r="I39" s="565" t="e">
        <f t="shared" si="9"/>
        <v>#REF!</v>
      </c>
      <c r="J39" s="565" t="e">
        <f t="shared" si="10"/>
        <v>#REF!</v>
      </c>
      <c r="K39" s="566" t="e">
        <f t="shared" si="11"/>
        <v>#REF!</v>
      </c>
      <c r="L39" s="543"/>
    </row>
    <row r="40" spans="1:12" s="439" customFormat="1" ht="28.5">
      <c r="A40" s="543"/>
      <c r="B40" s="552" t="s">
        <v>101</v>
      </c>
      <c r="C40" s="558" t="s">
        <v>103</v>
      </c>
      <c r="D40" s="557" t="s">
        <v>20</v>
      </c>
      <c r="E40" s="557">
        <v>90</v>
      </c>
      <c r="F40" s="555">
        <v>71.6</v>
      </c>
      <c r="G40" s="555">
        <f>ROUND(F40*(1+(insumos!E$37/100)),2)</f>
        <v>87.71</v>
      </c>
      <c r="H40" s="556">
        <f t="shared" si="8"/>
        <v>7893.9</v>
      </c>
      <c r="I40" s="565" t="e">
        <f t="shared" si="9"/>
        <v>#REF!</v>
      </c>
      <c r="J40" s="565" t="e">
        <f t="shared" si="10"/>
        <v>#REF!</v>
      </c>
      <c r="K40" s="566" t="e">
        <f t="shared" si="11"/>
        <v>#REF!</v>
      </c>
      <c r="L40" s="543"/>
    </row>
    <row r="41" spans="1:12" s="439" customFormat="1" ht="17.25" customHeight="1">
      <c r="A41" s="543"/>
      <c r="B41" s="559" t="s">
        <v>254</v>
      </c>
      <c r="C41" s="559"/>
      <c r="D41" s="559"/>
      <c r="E41" s="559"/>
      <c r="F41" s="559"/>
      <c r="G41" s="559"/>
      <c r="H41" s="560">
        <f>SUM(H32:H40)</f>
        <v>75914.09999999999</v>
      </c>
      <c r="I41" s="567" t="e">
        <f>ROUND(H41/H$92*I$92,2)</f>
        <v>#REF!</v>
      </c>
      <c r="J41" s="568"/>
      <c r="K41" s="568"/>
      <c r="L41" s="543"/>
    </row>
    <row r="42" spans="1:12" s="439" customFormat="1" ht="17.25" customHeight="1">
      <c r="A42" s="543"/>
      <c r="B42" s="551" t="s">
        <v>255</v>
      </c>
      <c r="C42" s="551"/>
      <c r="D42" s="551"/>
      <c r="E42" s="551"/>
      <c r="F42" s="551"/>
      <c r="G42" s="551"/>
      <c r="H42" s="551"/>
      <c r="I42" s="551"/>
      <c r="J42" s="551"/>
      <c r="K42" s="551"/>
      <c r="L42" s="543"/>
    </row>
    <row r="43" spans="1:12" s="439" customFormat="1" ht="22.5" customHeight="1">
      <c r="A43" s="543"/>
      <c r="B43" s="552" t="s">
        <v>106</v>
      </c>
      <c r="C43" s="553" t="s">
        <v>108</v>
      </c>
      <c r="D43" s="554" t="s">
        <v>20</v>
      </c>
      <c r="E43" s="554">
        <v>90</v>
      </c>
      <c r="F43" s="561">
        <v>270.54</v>
      </c>
      <c r="G43" s="555">
        <f>ROUND(F43*(1+(insumos!E$37/100)),2)</f>
        <v>331.41</v>
      </c>
      <c r="H43" s="556">
        <f aca="true" t="shared" si="12" ref="H43:H48">ROUND(G43*E43,2)</f>
        <v>29826.9</v>
      </c>
      <c r="I43" s="565" t="e">
        <f aca="true" t="shared" si="13" ref="I43:I48">ROUND(H43/H$49*I$49,2)</f>
        <v>#REF!</v>
      </c>
      <c r="J43" s="565" t="e">
        <f aca="true" t="shared" si="14" ref="J43:J48">ROUND(I43/E43,2)</f>
        <v>#REF!</v>
      </c>
      <c r="K43" s="566" t="e">
        <f aca="true" t="shared" si="15" ref="K43:K48">G43+J43</f>
        <v>#REF!</v>
      </c>
      <c r="L43" s="543"/>
    </row>
    <row r="44" spans="1:12" s="439" customFormat="1" ht="28.5">
      <c r="A44" s="543"/>
      <c r="B44" s="552" t="s">
        <v>109</v>
      </c>
      <c r="C44" s="553" t="s">
        <v>111</v>
      </c>
      <c r="D44" s="554" t="s">
        <v>20</v>
      </c>
      <c r="E44" s="554">
        <v>90</v>
      </c>
      <c r="F44" s="561">
        <v>1697.11</v>
      </c>
      <c r="G44" s="555">
        <f>ROUND(F44*(1+(insumos!E$37/100)),2)</f>
        <v>2078.94</v>
      </c>
      <c r="H44" s="556">
        <f t="shared" si="12"/>
        <v>187104.6</v>
      </c>
      <c r="I44" s="565" t="e">
        <f t="shared" si="13"/>
        <v>#REF!</v>
      </c>
      <c r="J44" s="565" t="e">
        <f t="shared" si="14"/>
        <v>#REF!</v>
      </c>
      <c r="K44" s="566" t="e">
        <f t="shared" si="15"/>
        <v>#REF!</v>
      </c>
      <c r="L44" s="543"/>
    </row>
    <row r="45" spans="1:12" s="439" customFormat="1" ht="28.5">
      <c r="A45" s="543"/>
      <c r="B45" s="552" t="s">
        <v>112</v>
      </c>
      <c r="C45" s="553" t="s">
        <v>114</v>
      </c>
      <c r="D45" s="554" t="s">
        <v>13</v>
      </c>
      <c r="E45" s="554">
        <v>90</v>
      </c>
      <c r="F45" s="561">
        <v>44.22</v>
      </c>
      <c r="G45" s="555">
        <f>ROUND(F45*(1+(insumos!E$37/100)),2)</f>
        <v>54.17</v>
      </c>
      <c r="H45" s="556">
        <f t="shared" si="12"/>
        <v>4875.3</v>
      </c>
      <c r="I45" s="565" t="e">
        <f t="shared" si="13"/>
        <v>#REF!</v>
      </c>
      <c r="J45" s="565" t="e">
        <f t="shared" si="14"/>
        <v>#REF!</v>
      </c>
      <c r="K45" s="566" t="e">
        <f t="shared" si="15"/>
        <v>#REF!</v>
      </c>
      <c r="L45" s="543"/>
    </row>
    <row r="46" spans="1:12" s="439" customFormat="1" ht="17.25" customHeight="1">
      <c r="A46" s="543"/>
      <c r="B46" s="552" t="s">
        <v>115</v>
      </c>
      <c r="C46" s="553" t="s">
        <v>117</v>
      </c>
      <c r="D46" s="554" t="s">
        <v>13</v>
      </c>
      <c r="E46" s="554">
        <v>90</v>
      </c>
      <c r="F46" s="561">
        <v>80.53</v>
      </c>
      <c r="G46" s="555">
        <f>ROUND(F46*(1+(insumos!E$37/100)),2)</f>
        <v>98.65</v>
      </c>
      <c r="H46" s="556">
        <f t="shared" si="12"/>
        <v>8878.5</v>
      </c>
      <c r="I46" s="565" t="e">
        <f t="shared" si="13"/>
        <v>#REF!</v>
      </c>
      <c r="J46" s="565" t="e">
        <f t="shared" si="14"/>
        <v>#REF!</v>
      </c>
      <c r="K46" s="566" t="e">
        <f t="shared" si="15"/>
        <v>#REF!</v>
      </c>
      <c r="L46" s="543"/>
    </row>
    <row r="47" spans="1:12" s="439" customFormat="1" ht="17.25" customHeight="1">
      <c r="A47" s="543"/>
      <c r="B47" s="552" t="s">
        <v>118</v>
      </c>
      <c r="C47" s="553" t="s">
        <v>120</v>
      </c>
      <c r="D47" s="554" t="s">
        <v>13</v>
      </c>
      <c r="E47" s="554">
        <v>180</v>
      </c>
      <c r="F47" s="561">
        <v>4.51</v>
      </c>
      <c r="G47" s="555">
        <f>ROUND(F47*(1+(insumos!E$37/100)),2)</f>
        <v>5.52</v>
      </c>
      <c r="H47" s="556">
        <f t="shared" si="12"/>
        <v>993.6</v>
      </c>
      <c r="I47" s="565" t="e">
        <f t="shared" si="13"/>
        <v>#REF!</v>
      </c>
      <c r="J47" s="565" t="e">
        <f t="shared" si="14"/>
        <v>#REF!</v>
      </c>
      <c r="K47" s="566" t="e">
        <f t="shared" si="15"/>
        <v>#REF!</v>
      </c>
      <c r="L47" s="543"/>
    </row>
    <row r="48" spans="1:12" s="439" customFormat="1" ht="17.25" customHeight="1">
      <c r="A48" s="543"/>
      <c r="B48" s="552" t="s">
        <v>121</v>
      </c>
      <c r="C48" s="553" t="s">
        <v>123</v>
      </c>
      <c r="D48" s="554" t="s">
        <v>13</v>
      </c>
      <c r="E48" s="554">
        <v>180</v>
      </c>
      <c r="F48" s="561">
        <v>19.25</v>
      </c>
      <c r="G48" s="555">
        <f>ROUND(F48*(1+(insumos!E$37/100)),2)</f>
        <v>23.58</v>
      </c>
      <c r="H48" s="556">
        <f t="shared" si="12"/>
        <v>4244.4</v>
      </c>
      <c r="I48" s="565" t="e">
        <f t="shared" si="13"/>
        <v>#REF!</v>
      </c>
      <c r="J48" s="565" t="e">
        <f t="shared" si="14"/>
        <v>#REF!</v>
      </c>
      <c r="K48" s="566" t="e">
        <f t="shared" si="15"/>
        <v>#REF!</v>
      </c>
      <c r="L48" s="543"/>
    </row>
    <row r="49" spans="1:12" s="439" customFormat="1" ht="17.25" customHeight="1">
      <c r="A49" s="543"/>
      <c r="B49" s="559" t="s">
        <v>256</v>
      </c>
      <c r="C49" s="559"/>
      <c r="D49" s="559"/>
      <c r="E49" s="559"/>
      <c r="F49" s="559"/>
      <c r="G49" s="559"/>
      <c r="H49" s="560">
        <f>SUM(H43:H48)</f>
        <v>235923.3</v>
      </c>
      <c r="I49" s="567" t="e">
        <f>ROUND(H49/H$92*I$92,2)</f>
        <v>#REF!</v>
      </c>
      <c r="J49" s="568"/>
      <c r="K49" s="568"/>
      <c r="L49" s="543"/>
    </row>
    <row r="50" spans="1:12" s="439" customFormat="1" ht="17.25" customHeight="1">
      <c r="A50" s="543"/>
      <c r="B50" s="551" t="s">
        <v>257</v>
      </c>
      <c r="C50" s="551"/>
      <c r="D50" s="551"/>
      <c r="E50" s="551"/>
      <c r="F50" s="551"/>
      <c r="G50" s="551"/>
      <c r="H50" s="551"/>
      <c r="I50" s="551"/>
      <c r="J50" s="551"/>
      <c r="K50" s="551"/>
      <c r="L50" s="543"/>
    </row>
    <row r="51" spans="1:12" s="439" customFormat="1" ht="17.25" customHeight="1">
      <c r="A51" s="543"/>
      <c r="B51" s="552" t="s">
        <v>126</v>
      </c>
      <c r="C51" s="553" t="s">
        <v>128</v>
      </c>
      <c r="D51" s="554" t="s">
        <v>13</v>
      </c>
      <c r="E51" s="554">
        <v>320</v>
      </c>
      <c r="F51" s="561">
        <v>21.05</v>
      </c>
      <c r="G51" s="555">
        <f>ROUND(F51*(1+(insumos!E$37/100)),2)</f>
        <v>25.79</v>
      </c>
      <c r="H51" s="556">
        <f aca="true" t="shared" si="16" ref="H51:H59">ROUND(G51*E51,2)</f>
        <v>8252.8</v>
      </c>
      <c r="I51" s="565" t="e">
        <f aca="true" t="shared" si="17" ref="I51:I59">ROUND(H51/H$60*I$60,2)</f>
        <v>#REF!</v>
      </c>
      <c r="J51" s="565" t="e">
        <f aca="true" t="shared" si="18" ref="J51:J59">ROUND(I51/E51,2)</f>
        <v>#REF!</v>
      </c>
      <c r="K51" s="566" t="e">
        <f aca="true" t="shared" si="19" ref="K51:K59">G51+J51</f>
        <v>#REF!</v>
      </c>
      <c r="L51" s="543"/>
    </row>
    <row r="52" spans="1:12" s="439" customFormat="1" ht="42.75">
      <c r="A52" s="543"/>
      <c r="B52" s="552" t="s">
        <v>129</v>
      </c>
      <c r="C52" s="553" t="s">
        <v>131</v>
      </c>
      <c r="D52" s="554" t="s">
        <v>13</v>
      </c>
      <c r="E52" s="554">
        <v>120</v>
      </c>
      <c r="F52" s="561">
        <v>37.64</v>
      </c>
      <c r="G52" s="555">
        <f>ROUND(F52*(1+(insumos!E$37/100)),2)</f>
        <v>46.11</v>
      </c>
      <c r="H52" s="556">
        <f t="shared" si="16"/>
        <v>5533.2</v>
      </c>
      <c r="I52" s="565" t="e">
        <f t="shared" si="17"/>
        <v>#REF!</v>
      </c>
      <c r="J52" s="565" t="e">
        <f t="shared" si="18"/>
        <v>#REF!</v>
      </c>
      <c r="K52" s="566" t="e">
        <f t="shared" si="19"/>
        <v>#REF!</v>
      </c>
      <c r="L52" s="543"/>
    </row>
    <row r="53" spans="1:12" s="439" customFormat="1" ht="17.25" customHeight="1">
      <c r="A53" s="543"/>
      <c r="B53" s="552" t="s">
        <v>132</v>
      </c>
      <c r="C53" s="553" t="s">
        <v>134</v>
      </c>
      <c r="D53" s="554" t="s">
        <v>36</v>
      </c>
      <c r="E53" s="554">
        <v>320</v>
      </c>
      <c r="F53" s="561">
        <v>6.75</v>
      </c>
      <c r="G53" s="555">
        <f>ROUND(F53*(1+(insumos!E$37/100)),2)</f>
        <v>8.27</v>
      </c>
      <c r="H53" s="556">
        <f t="shared" si="16"/>
        <v>2646.4</v>
      </c>
      <c r="I53" s="565" t="e">
        <f t="shared" si="17"/>
        <v>#REF!</v>
      </c>
      <c r="J53" s="565" t="e">
        <f t="shared" si="18"/>
        <v>#REF!</v>
      </c>
      <c r="K53" s="566" t="e">
        <f t="shared" si="19"/>
        <v>#REF!</v>
      </c>
      <c r="L53" s="543"/>
    </row>
    <row r="54" spans="1:12" s="439" customFormat="1" ht="42.75">
      <c r="A54" s="543"/>
      <c r="B54" s="552" t="s">
        <v>135</v>
      </c>
      <c r="C54" s="553" t="s">
        <v>137</v>
      </c>
      <c r="D54" s="554" t="s">
        <v>36</v>
      </c>
      <c r="E54" s="554">
        <v>320</v>
      </c>
      <c r="F54" s="561">
        <v>14.91</v>
      </c>
      <c r="G54" s="555">
        <f>ROUND(F54*(1+(insumos!E$37/100)),2)</f>
        <v>18.26</v>
      </c>
      <c r="H54" s="556">
        <f t="shared" si="16"/>
        <v>5843.2</v>
      </c>
      <c r="I54" s="565" t="e">
        <f t="shared" si="17"/>
        <v>#REF!</v>
      </c>
      <c r="J54" s="565" t="e">
        <f t="shared" si="18"/>
        <v>#REF!</v>
      </c>
      <c r="K54" s="566" t="e">
        <f t="shared" si="19"/>
        <v>#REF!</v>
      </c>
      <c r="L54" s="543"/>
    </row>
    <row r="55" spans="1:12" s="439" customFormat="1" ht="17.25" customHeight="1">
      <c r="A55" s="543"/>
      <c r="B55" s="552" t="s">
        <v>138</v>
      </c>
      <c r="C55" s="558" t="s">
        <v>140</v>
      </c>
      <c r="D55" s="557" t="s">
        <v>20</v>
      </c>
      <c r="E55" s="557">
        <v>70</v>
      </c>
      <c r="F55" s="561">
        <v>354</v>
      </c>
      <c r="G55" s="555">
        <f>ROUND(F55*(1+(insumos!E$37/100)),2)</f>
        <v>433.65</v>
      </c>
      <c r="H55" s="556">
        <f t="shared" si="16"/>
        <v>30355.5</v>
      </c>
      <c r="I55" s="565" t="e">
        <f t="shared" si="17"/>
        <v>#REF!</v>
      </c>
      <c r="J55" s="565" t="e">
        <f t="shared" si="18"/>
        <v>#REF!</v>
      </c>
      <c r="K55" s="566" t="e">
        <f t="shared" si="19"/>
        <v>#REF!</v>
      </c>
      <c r="L55" s="543"/>
    </row>
    <row r="56" spans="1:12" s="439" customFormat="1" ht="28.5">
      <c r="A56" s="543"/>
      <c r="B56" s="552" t="s">
        <v>141</v>
      </c>
      <c r="C56" s="558" t="s">
        <v>143</v>
      </c>
      <c r="D56" s="557" t="s">
        <v>20</v>
      </c>
      <c r="E56" s="557">
        <v>70</v>
      </c>
      <c r="F56" s="561">
        <v>80.79</v>
      </c>
      <c r="G56" s="555">
        <f>ROUND(F56*(1+(insumos!E$37/100)),2)</f>
        <v>98.97</v>
      </c>
      <c r="H56" s="556">
        <f t="shared" si="16"/>
        <v>6927.9</v>
      </c>
      <c r="I56" s="565" t="e">
        <f t="shared" si="17"/>
        <v>#REF!</v>
      </c>
      <c r="J56" s="565" t="e">
        <f t="shared" si="18"/>
        <v>#REF!</v>
      </c>
      <c r="K56" s="566" t="e">
        <f t="shared" si="19"/>
        <v>#REF!</v>
      </c>
      <c r="L56" s="543"/>
    </row>
    <row r="57" spans="1:12" s="439" customFormat="1" ht="17.25" customHeight="1">
      <c r="A57" s="543"/>
      <c r="B57" s="552" t="s">
        <v>144</v>
      </c>
      <c r="C57" s="558" t="s">
        <v>146</v>
      </c>
      <c r="D57" s="557" t="s">
        <v>20</v>
      </c>
      <c r="E57" s="557">
        <v>70</v>
      </c>
      <c r="F57" s="561">
        <v>6.56</v>
      </c>
      <c r="G57" s="555">
        <f>ROUND(F57*(1+(insumos!E$37/100)),2)</f>
        <v>8.04</v>
      </c>
      <c r="H57" s="556">
        <f t="shared" si="16"/>
        <v>562.8</v>
      </c>
      <c r="I57" s="565" t="e">
        <f t="shared" si="17"/>
        <v>#REF!</v>
      </c>
      <c r="J57" s="565" t="e">
        <f t="shared" si="18"/>
        <v>#REF!</v>
      </c>
      <c r="K57" s="566" t="e">
        <f t="shared" si="19"/>
        <v>#REF!</v>
      </c>
      <c r="L57" s="543"/>
    </row>
    <row r="58" spans="1:12" s="439" customFormat="1" ht="17.25" customHeight="1">
      <c r="A58" s="543"/>
      <c r="B58" s="552" t="s">
        <v>147</v>
      </c>
      <c r="C58" s="558" t="s">
        <v>149</v>
      </c>
      <c r="D58" s="557" t="s">
        <v>13</v>
      </c>
      <c r="E58" s="562">
        <v>1400</v>
      </c>
      <c r="F58" s="561">
        <v>1.89</v>
      </c>
      <c r="G58" s="555">
        <f>ROUND(F58*(1+(insumos!E$37/100)),2)</f>
        <v>2.32</v>
      </c>
      <c r="H58" s="556">
        <f t="shared" si="16"/>
        <v>3248</v>
      </c>
      <c r="I58" s="565" t="e">
        <f t="shared" si="17"/>
        <v>#REF!</v>
      </c>
      <c r="J58" s="565" t="e">
        <f t="shared" si="18"/>
        <v>#REF!</v>
      </c>
      <c r="K58" s="566" t="e">
        <f t="shared" si="19"/>
        <v>#REF!</v>
      </c>
      <c r="L58" s="543"/>
    </row>
    <row r="59" spans="1:12" s="439" customFormat="1" ht="17.25" customHeight="1">
      <c r="A59" s="543"/>
      <c r="B59" s="552" t="s">
        <v>150</v>
      </c>
      <c r="C59" s="558" t="s">
        <v>152</v>
      </c>
      <c r="D59" s="557" t="s">
        <v>20</v>
      </c>
      <c r="E59" s="557">
        <v>70</v>
      </c>
      <c r="F59" s="561">
        <v>2.52</v>
      </c>
      <c r="G59" s="555">
        <f>ROUND(F59*(1+(insumos!E$37/100)),2)</f>
        <v>3.09</v>
      </c>
      <c r="H59" s="556">
        <f t="shared" si="16"/>
        <v>216.3</v>
      </c>
      <c r="I59" s="565" t="e">
        <f t="shared" si="17"/>
        <v>#REF!</v>
      </c>
      <c r="J59" s="565" t="e">
        <f t="shared" si="18"/>
        <v>#REF!</v>
      </c>
      <c r="K59" s="566" t="e">
        <f t="shared" si="19"/>
        <v>#REF!</v>
      </c>
      <c r="L59" s="543"/>
    </row>
    <row r="60" spans="1:12" s="439" customFormat="1" ht="17.25" customHeight="1">
      <c r="A60" s="543"/>
      <c r="B60" s="559" t="s">
        <v>258</v>
      </c>
      <c r="C60" s="559"/>
      <c r="D60" s="559"/>
      <c r="E60" s="559"/>
      <c r="F60" s="559"/>
      <c r="G60" s="559"/>
      <c r="H60" s="560">
        <f>SUM(H51:H59)</f>
        <v>63586.10000000001</v>
      </c>
      <c r="I60" s="567" t="e">
        <f>ROUND(H60/H$92*I$92,2)</f>
        <v>#REF!</v>
      </c>
      <c r="J60" s="568"/>
      <c r="K60" s="568"/>
      <c r="L60" s="543"/>
    </row>
    <row r="61" spans="1:12" s="439" customFormat="1" ht="17.25" customHeight="1">
      <c r="A61" s="543"/>
      <c r="B61" s="551" t="s">
        <v>259</v>
      </c>
      <c r="C61" s="551"/>
      <c r="D61" s="551"/>
      <c r="E61" s="551"/>
      <c r="F61" s="551"/>
      <c r="G61" s="551"/>
      <c r="H61" s="551"/>
      <c r="I61" s="551"/>
      <c r="J61" s="551"/>
      <c r="K61" s="551"/>
      <c r="L61" s="543"/>
    </row>
    <row r="62" spans="1:12" s="439" customFormat="1" ht="17.25" customHeight="1">
      <c r="A62" s="543"/>
      <c r="B62" s="552" t="s">
        <v>155</v>
      </c>
      <c r="C62" s="553" t="s">
        <v>157</v>
      </c>
      <c r="D62" s="557" t="s">
        <v>43</v>
      </c>
      <c r="E62" s="554">
        <v>60</v>
      </c>
      <c r="F62" s="561">
        <v>55.71</v>
      </c>
      <c r="G62" s="555">
        <f>ROUND(F62*(1+(insumos!E$37/100)),2)</f>
        <v>68.24</v>
      </c>
      <c r="H62" s="556">
        <f aca="true" t="shared" si="20" ref="H62:H85">ROUND(G62*E62,2)</f>
        <v>4094.4</v>
      </c>
      <c r="I62" s="565" t="e">
        <f aca="true" t="shared" si="21" ref="I62:I85">ROUND(H62/H$86*I$86,2)</f>
        <v>#REF!</v>
      </c>
      <c r="J62" s="565" t="e">
        <f aca="true" t="shared" si="22" ref="J62:J85">ROUND(I62/E62,2)</f>
        <v>#REF!</v>
      </c>
      <c r="K62" s="566" t="e">
        <f aca="true" t="shared" si="23" ref="K62:K85">G62+J62</f>
        <v>#REF!</v>
      </c>
      <c r="L62" s="543"/>
    </row>
    <row r="63" spans="1:12" s="439" customFormat="1" ht="17.25" customHeight="1">
      <c r="A63" s="543"/>
      <c r="B63" s="552" t="s">
        <v>158</v>
      </c>
      <c r="C63" s="553" t="s">
        <v>160</v>
      </c>
      <c r="D63" s="557" t="s">
        <v>43</v>
      </c>
      <c r="E63" s="554">
        <v>30</v>
      </c>
      <c r="F63" s="561">
        <v>138.22</v>
      </c>
      <c r="G63" s="555">
        <f>ROUND(F63*(1+(insumos!E$37/100)),2)</f>
        <v>169.32</v>
      </c>
      <c r="H63" s="556">
        <f t="shared" si="20"/>
        <v>5079.6</v>
      </c>
      <c r="I63" s="565" t="e">
        <f t="shared" si="21"/>
        <v>#REF!</v>
      </c>
      <c r="J63" s="565" t="e">
        <f t="shared" si="22"/>
        <v>#REF!</v>
      </c>
      <c r="K63" s="566" t="e">
        <f t="shared" si="23"/>
        <v>#REF!</v>
      </c>
      <c r="L63" s="543"/>
    </row>
    <row r="64" spans="1:12" s="439" customFormat="1" ht="17.25" customHeight="1">
      <c r="A64" s="543"/>
      <c r="B64" s="552" t="s">
        <v>161</v>
      </c>
      <c r="C64" s="553" t="s">
        <v>163</v>
      </c>
      <c r="D64" s="557" t="s">
        <v>43</v>
      </c>
      <c r="E64" s="554">
        <v>30</v>
      </c>
      <c r="F64" s="561">
        <v>71.65</v>
      </c>
      <c r="G64" s="555">
        <f>ROUND(F64*(1+(insumos!E$37/100)),2)</f>
        <v>87.77</v>
      </c>
      <c r="H64" s="556">
        <f t="shared" si="20"/>
        <v>2633.1</v>
      </c>
      <c r="I64" s="565" t="e">
        <f t="shared" si="21"/>
        <v>#REF!</v>
      </c>
      <c r="J64" s="565" t="e">
        <f t="shared" si="22"/>
        <v>#REF!</v>
      </c>
      <c r="K64" s="566" t="e">
        <f t="shared" si="23"/>
        <v>#REF!</v>
      </c>
      <c r="L64" s="543"/>
    </row>
    <row r="65" spans="1:12" s="439" customFormat="1" ht="42.75">
      <c r="A65" s="543"/>
      <c r="B65" s="552" t="s">
        <v>164</v>
      </c>
      <c r="C65" s="553" t="s">
        <v>166</v>
      </c>
      <c r="D65" s="557" t="s">
        <v>43</v>
      </c>
      <c r="E65" s="554">
        <v>6</v>
      </c>
      <c r="F65" s="561">
        <v>431.32</v>
      </c>
      <c r="G65" s="555">
        <f>ROUND(F65*(1+(insumos!E$37/100)),2)</f>
        <v>528.36</v>
      </c>
      <c r="H65" s="556">
        <f t="shared" si="20"/>
        <v>3170.16</v>
      </c>
      <c r="I65" s="565" t="e">
        <f t="shared" si="21"/>
        <v>#REF!</v>
      </c>
      <c r="J65" s="565" t="e">
        <f t="shared" si="22"/>
        <v>#REF!</v>
      </c>
      <c r="K65" s="566" t="e">
        <f t="shared" si="23"/>
        <v>#REF!</v>
      </c>
      <c r="L65" s="543"/>
    </row>
    <row r="66" spans="1:12" s="439" customFormat="1" ht="42.75">
      <c r="A66" s="543"/>
      <c r="B66" s="552" t="s">
        <v>167</v>
      </c>
      <c r="C66" s="553" t="s">
        <v>169</v>
      </c>
      <c r="D66" s="557" t="s">
        <v>43</v>
      </c>
      <c r="E66" s="554">
        <v>6</v>
      </c>
      <c r="F66" s="561">
        <v>711.82</v>
      </c>
      <c r="G66" s="555">
        <f>ROUND(F66*(1+(insumos!E$37/100)),2)</f>
        <v>871.97</v>
      </c>
      <c r="H66" s="556">
        <f t="shared" si="20"/>
        <v>5231.82</v>
      </c>
      <c r="I66" s="565" t="e">
        <f t="shared" si="21"/>
        <v>#REF!</v>
      </c>
      <c r="J66" s="565" t="e">
        <f t="shared" si="22"/>
        <v>#REF!</v>
      </c>
      <c r="K66" s="566" t="e">
        <f t="shared" si="23"/>
        <v>#REF!</v>
      </c>
      <c r="L66" s="543"/>
    </row>
    <row r="67" spans="1:12" s="439" customFormat="1" ht="42.75">
      <c r="A67" s="543"/>
      <c r="B67" s="552" t="s">
        <v>170</v>
      </c>
      <c r="C67" s="553" t="s">
        <v>172</v>
      </c>
      <c r="D67" s="557" t="s">
        <v>43</v>
      </c>
      <c r="E67" s="554">
        <v>6</v>
      </c>
      <c r="F67" s="561">
        <v>949.36</v>
      </c>
      <c r="G67" s="555">
        <f>ROUND(F67*(1+(insumos!E$37/100)),2)</f>
        <v>1162.96</v>
      </c>
      <c r="H67" s="556">
        <f t="shared" si="20"/>
        <v>6977.76</v>
      </c>
      <c r="I67" s="565" t="e">
        <f t="shared" si="21"/>
        <v>#REF!</v>
      </c>
      <c r="J67" s="565" t="e">
        <f t="shared" si="22"/>
        <v>#REF!</v>
      </c>
      <c r="K67" s="566" t="e">
        <f t="shared" si="23"/>
        <v>#REF!</v>
      </c>
      <c r="L67" s="543"/>
    </row>
    <row r="68" spans="1:12" s="439" customFormat="1" ht="28.5" customHeight="1">
      <c r="A68" s="543"/>
      <c r="B68" s="552" t="s">
        <v>173</v>
      </c>
      <c r="C68" s="553" t="s">
        <v>175</v>
      </c>
      <c r="D68" s="554" t="s">
        <v>36</v>
      </c>
      <c r="E68" s="554">
        <v>6</v>
      </c>
      <c r="F68" s="561">
        <v>1658.94</v>
      </c>
      <c r="G68" s="555">
        <f>ROUND(F68*(1+(insumos!E$37/100)),2)</f>
        <v>2032.18</v>
      </c>
      <c r="H68" s="556">
        <f t="shared" si="20"/>
        <v>12193.08</v>
      </c>
      <c r="I68" s="565" t="e">
        <f t="shared" si="21"/>
        <v>#REF!</v>
      </c>
      <c r="J68" s="565" t="e">
        <f t="shared" si="22"/>
        <v>#REF!</v>
      </c>
      <c r="K68" s="566" t="e">
        <f t="shared" si="23"/>
        <v>#REF!</v>
      </c>
      <c r="L68" s="543"/>
    </row>
    <row r="69" spans="1:12" s="439" customFormat="1" ht="28.5" customHeight="1">
      <c r="A69" s="543"/>
      <c r="B69" s="552" t="s">
        <v>176</v>
      </c>
      <c r="C69" s="553" t="s">
        <v>178</v>
      </c>
      <c r="D69" s="557" t="s">
        <v>43</v>
      </c>
      <c r="E69" s="554">
        <v>6</v>
      </c>
      <c r="F69" s="561">
        <v>1930.51</v>
      </c>
      <c r="G69" s="555">
        <f>ROUND(F69*(1+(insumos!E$37/100)),2)</f>
        <v>2364.86</v>
      </c>
      <c r="H69" s="556">
        <f t="shared" si="20"/>
        <v>14189.16</v>
      </c>
      <c r="I69" s="565" t="e">
        <f t="shared" si="21"/>
        <v>#REF!</v>
      </c>
      <c r="J69" s="565" t="e">
        <f t="shared" si="22"/>
        <v>#REF!</v>
      </c>
      <c r="K69" s="566" t="e">
        <f t="shared" si="23"/>
        <v>#REF!</v>
      </c>
      <c r="L69" s="543"/>
    </row>
    <row r="70" spans="1:12" s="439" customFormat="1" ht="28.5" customHeight="1">
      <c r="A70" s="543"/>
      <c r="B70" s="552" t="s">
        <v>179</v>
      </c>
      <c r="C70" s="553" t="s">
        <v>181</v>
      </c>
      <c r="D70" s="557" t="s">
        <v>43</v>
      </c>
      <c r="E70" s="554">
        <v>3</v>
      </c>
      <c r="F70" s="561">
        <v>2765.92</v>
      </c>
      <c r="G70" s="555">
        <f>ROUND(F70*(1+(insumos!E$37/100)),2)</f>
        <v>3388.22</v>
      </c>
      <c r="H70" s="556">
        <f t="shared" si="20"/>
        <v>10164.66</v>
      </c>
      <c r="I70" s="565" t="e">
        <f t="shared" si="21"/>
        <v>#REF!</v>
      </c>
      <c r="J70" s="565" t="e">
        <f t="shared" si="22"/>
        <v>#REF!</v>
      </c>
      <c r="K70" s="566" t="e">
        <f t="shared" si="23"/>
        <v>#REF!</v>
      </c>
      <c r="L70" s="543"/>
    </row>
    <row r="71" spans="1:12" s="439" customFormat="1" ht="28.5" customHeight="1">
      <c r="A71" s="543"/>
      <c r="B71" s="552" t="s">
        <v>182</v>
      </c>
      <c r="C71" s="553" t="s">
        <v>184</v>
      </c>
      <c r="D71" s="554" t="s">
        <v>36</v>
      </c>
      <c r="E71" s="554">
        <v>180</v>
      </c>
      <c r="F71" s="561">
        <v>60.33</v>
      </c>
      <c r="G71" s="555">
        <f>ROUND(F71*(1+(insumos!E$37/100)),2)</f>
        <v>73.9</v>
      </c>
      <c r="H71" s="556">
        <f t="shared" si="20"/>
        <v>13302</v>
      </c>
      <c r="I71" s="565" t="e">
        <f t="shared" si="21"/>
        <v>#REF!</v>
      </c>
      <c r="J71" s="565" t="e">
        <f t="shared" si="22"/>
        <v>#REF!</v>
      </c>
      <c r="K71" s="566" t="e">
        <f t="shared" si="23"/>
        <v>#REF!</v>
      </c>
      <c r="L71" s="543"/>
    </row>
    <row r="72" spans="1:12" s="439" customFormat="1" ht="28.5" customHeight="1">
      <c r="A72" s="543"/>
      <c r="B72" s="552" t="s">
        <v>185</v>
      </c>
      <c r="C72" s="553" t="s">
        <v>187</v>
      </c>
      <c r="D72" s="554" t="s">
        <v>36</v>
      </c>
      <c r="E72" s="554">
        <v>200</v>
      </c>
      <c r="F72" s="561">
        <v>83.46</v>
      </c>
      <c r="G72" s="555">
        <f>ROUND(F72*(1+(insumos!E$37/100)),2)</f>
        <v>102.24</v>
      </c>
      <c r="H72" s="556">
        <f t="shared" si="20"/>
        <v>20448</v>
      </c>
      <c r="I72" s="565" t="e">
        <f t="shared" si="21"/>
        <v>#REF!</v>
      </c>
      <c r="J72" s="565" t="e">
        <f t="shared" si="22"/>
        <v>#REF!</v>
      </c>
      <c r="K72" s="566" t="e">
        <f t="shared" si="23"/>
        <v>#REF!</v>
      </c>
      <c r="L72" s="543"/>
    </row>
    <row r="73" spans="1:12" s="439" customFormat="1" ht="28.5" customHeight="1">
      <c r="A73" s="543"/>
      <c r="B73" s="552" t="s">
        <v>188</v>
      </c>
      <c r="C73" s="553" t="s">
        <v>190</v>
      </c>
      <c r="D73" s="554" t="s">
        <v>36</v>
      </c>
      <c r="E73" s="554">
        <v>120</v>
      </c>
      <c r="F73" s="561">
        <v>129.71</v>
      </c>
      <c r="G73" s="555">
        <f>ROUND(F73*(1+(insumos!E$37/100)),2)</f>
        <v>158.89</v>
      </c>
      <c r="H73" s="556">
        <f t="shared" si="20"/>
        <v>19066.8</v>
      </c>
      <c r="I73" s="565" t="e">
        <f t="shared" si="21"/>
        <v>#REF!</v>
      </c>
      <c r="J73" s="565" t="e">
        <f t="shared" si="22"/>
        <v>#REF!</v>
      </c>
      <c r="K73" s="566" t="e">
        <f t="shared" si="23"/>
        <v>#REF!</v>
      </c>
      <c r="L73" s="543"/>
    </row>
    <row r="74" spans="1:12" s="439" customFormat="1" ht="28.5" customHeight="1">
      <c r="A74" s="543"/>
      <c r="B74" s="552" t="s">
        <v>191</v>
      </c>
      <c r="C74" s="553" t="s">
        <v>193</v>
      </c>
      <c r="D74" s="554" t="s">
        <v>36</v>
      </c>
      <c r="E74" s="554">
        <v>75</v>
      </c>
      <c r="F74" s="561">
        <v>170.06</v>
      </c>
      <c r="G74" s="555">
        <f>ROUND(F74*(1+(insumos!E$37/100)),2)</f>
        <v>208.32</v>
      </c>
      <c r="H74" s="556">
        <f t="shared" si="20"/>
        <v>15624</v>
      </c>
      <c r="I74" s="565" t="e">
        <f t="shared" si="21"/>
        <v>#REF!</v>
      </c>
      <c r="J74" s="565" t="e">
        <f t="shared" si="22"/>
        <v>#REF!</v>
      </c>
      <c r="K74" s="566" t="e">
        <f t="shared" si="23"/>
        <v>#REF!</v>
      </c>
      <c r="L74" s="543"/>
    </row>
    <row r="75" spans="1:12" s="439" customFormat="1" ht="28.5" customHeight="1">
      <c r="A75" s="543"/>
      <c r="B75" s="552" t="s">
        <v>194</v>
      </c>
      <c r="C75" s="553" t="s">
        <v>196</v>
      </c>
      <c r="D75" s="554" t="s">
        <v>36</v>
      </c>
      <c r="E75" s="554">
        <v>50</v>
      </c>
      <c r="F75" s="561">
        <v>251.27</v>
      </c>
      <c r="G75" s="555">
        <f>ROUND(F75*(1+(insumos!E$37/100)),2)</f>
        <v>307.8</v>
      </c>
      <c r="H75" s="556">
        <f t="shared" si="20"/>
        <v>15390</v>
      </c>
      <c r="I75" s="565" t="e">
        <f t="shared" si="21"/>
        <v>#REF!</v>
      </c>
      <c r="J75" s="565" t="e">
        <f t="shared" si="22"/>
        <v>#REF!</v>
      </c>
      <c r="K75" s="566" t="e">
        <f t="shared" si="23"/>
        <v>#REF!</v>
      </c>
      <c r="L75" s="543"/>
    </row>
    <row r="76" spans="1:12" s="439" customFormat="1" ht="28.5" customHeight="1">
      <c r="A76" s="543"/>
      <c r="B76" s="552" t="s">
        <v>197</v>
      </c>
      <c r="C76" s="553" t="s">
        <v>199</v>
      </c>
      <c r="D76" s="554" t="s">
        <v>36</v>
      </c>
      <c r="E76" s="554">
        <v>50</v>
      </c>
      <c r="F76" s="561">
        <v>382.5</v>
      </c>
      <c r="G76" s="555">
        <f>ROUND(F76*(1+(insumos!E$37/100)),2)</f>
        <v>468.56</v>
      </c>
      <c r="H76" s="556">
        <f t="shared" si="20"/>
        <v>23428</v>
      </c>
      <c r="I76" s="565" t="e">
        <f t="shared" si="21"/>
        <v>#REF!</v>
      </c>
      <c r="J76" s="565" t="e">
        <f t="shared" si="22"/>
        <v>#REF!</v>
      </c>
      <c r="K76" s="566" t="e">
        <f t="shared" si="23"/>
        <v>#REF!</v>
      </c>
      <c r="L76" s="543"/>
    </row>
    <row r="77" spans="1:12" s="439" customFormat="1" ht="28.5" customHeight="1">
      <c r="A77" s="543"/>
      <c r="B77" s="552" t="s">
        <v>200</v>
      </c>
      <c r="C77" s="553" t="s">
        <v>202</v>
      </c>
      <c r="D77" s="557" t="s">
        <v>43</v>
      </c>
      <c r="E77" s="554">
        <v>75</v>
      </c>
      <c r="F77" s="561">
        <v>76.68</v>
      </c>
      <c r="G77" s="555">
        <f>ROUND(F77*(1+(insumos!E$37/100)),2)</f>
        <v>93.93</v>
      </c>
      <c r="H77" s="556">
        <f t="shared" si="20"/>
        <v>7044.75</v>
      </c>
      <c r="I77" s="565" t="e">
        <f t="shared" si="21"/>
        <v>#REF!</v>
      </c>
      <c r="J77" s="565" t="e">
        <f t="shared" si="22"/>
        <v>#REF!</v>
      </c>
      <c r="K77" s="566" t="e">
        <f t="shared" si="23"/>
        <v>#REF!</v>
      </c>
      <c r="L77" s="543"/>
    </row>
    <row r="78" spans="1:12" s="439" customFormat="1" ht="28.5" customHeight="1">
      <c r="A78" s="543"/>
      <c r="B78" s="552" t="s">
        <v>203</v>
      </c>
      <c r="C78" s="553" t="s">
        <v>205</v>
      </c>
      <c r="D78" s="557" t="s">
        <v>43</v>
      </c>
      <c r="E78" s="554">
        <v>75</v>
      </c>
      <c r="F78" s="561">
        <v>100.93</v>
      </c>
      <c r="G78" s="555">
        <f>ROUND(F78*(1+(insumos!E$37/100)),2)</f>
        <v>123.64</v>
      </c>
      <c r="H78" s="556">
        <f t="shared" si="20"/>
        <v>9273</v>
      </c>
      <c r="I78" s="565" t="e">
        <f t="shared" si="21"/>
        <v>#REF!</v>
      </c>
      <c r="J78" s="565" t="e">
        <f t="shared" si="22"/>
        <v>#REF!</v>
      </c>
      <c r="K78" s="566" t="e">
        <f t="shared" si="23"/>
        <v>#REF!</v>
      </c>
      <c r="L78" s="543"/>
    </row>
    <row r="79" spans="1:12" s="439" customFormat="1" ht="28.5" customHeight="1">
      <c r="A79" s="543"/>
      <c r="B79" s="552" t="s">
        <v>206</v>
      </c>
      <c r="C79" s="553" t="s">
        <v>208</v>
      </c>
      <c r="D79" s="557" t="s">
        <v>43</v>
      </c>
      <c r="E79" s="554">
        <v>35</v>
      </c>
      <c r="F79" s="561">
        <v>158.86</v>
      </c>
      <c r="G79" s="555">
        <f>ROUND(F79*(1+(insumos!E$37/100)),2)</f>
        <v>194.6</v>
      </c>
      <c r="H79" s="556">
        <f t="shared" si="20"/>
        <v>6811</v>
      </c>
      <c r="I79" s="565" t="e">
        <f t="shared" si="21"/>
        <v>#REF!</v>
      </c>
      <c r="J79" s="565" t="e">
        <f t="shared" si="22"/>
        <v>#REF!</v>
      </c>
      <c r="K79" s="566" t="e">
        <f t="shared" si="23"/>
        <v>#REF!</v>
      </c>
      <c r="L79" s="543"/>
    </row>
    <row r="80" spans="1:12" s="439" customFormat="1" ht="28.5" customHeight="1">
      <c r="A80" s="543"/>
      <c r="B80" s="552" t="s">
        <v>209</v>
      </c>
      <c r="C80" s="558" t="s">
        <v>211</v>
      </c>
      <c r="D80" s="557" t="s">
        <v>43</v>
      </c>
      <c r="E80" s="557">
        <v>320</v>
      </c>
      <c r="F80" s="561">
        <v>949.36</v>
      </c>
      <c r="G80" s="555">
        <f>ROUND(F80*(1+(insumos!E$37/100)),2)</f>
        <v>1162.96</v>
      </c>
      <c r="H80" s="556">
        <f t="shared" si="20"/>
        <v>372147.2</v>
      </c>
      <c r="I80" s="565" t="e">
        <f t="shared" si="21"/>
        <v>#REF!</v>
      </c>
      <c r="J80" s="565" t="e">
        <f t="shared" si="22"/>
        <v>#REF!</v>
      </c>
      <c r="K80" s="566" t="e">
        <f t="shared" si="23"/>
        <v>#REF!</v>
      </c>
      <c r="L80" s="543"/>
    </row>
    <row r="81" spans="1:12" s="439" customFormat="1" ht="28.5" customHeight="1">
      <c r="A81" s="543"/>
      <c r="B81" s="552" t="s">
        <v>212</v>
      </c>
      <c r="C81" s="558" t="s">
        <v>214</v>
      </c>
      <c r="D81" s="557" t="s">
        <v>43</v>
      </c>
      <c r="E81" s="557">
        <v>400</v>
      </c>
      <c r="F81" s="561">
        <v>1658.94</v>
      </c>
      <c r="G81" s="555">
        <f>ROUND(F81*(1+(insumos!E$37/100)),2)</f>
        <v>2032.18</v>
      </c>
      <c r="H81" s="556">
        <f t="shared" si="20"/>
        <v>812872</v>
      </c>
      <c r="I81" s="565" t="e">
        <f t="shared" si="21"/>
        <v>#REF!</v>
      </c>
      <c r="J81" s="565" t="e">
        <f t="shared" si="22"/>
        <v>#REF!</v>
      </c>
      <c r="K81" s="566" t="e">
        <f t="shared" si="23"/>
        <v>#REF!</v>
      </c>
      <c r="L81" s="543"/>
    </row>
    <row r="82" spans="1:12" s="439" customFormat="1" ht="28.5">
      <c r="A82" s="543"/>
      <c r="B82" s="552" t="s">
        <v>215</v>
      </c>
      <c r="C82" s="558" t="s">
        <v>217</v>
      </c>
      <c r="D82" s="557" t="s">
        <v>43</v>
      </c>
      <c r="E82" s="557">
        <v>75</v>
      </c>
      <c r="F82" s="561">
        <v>1930.51</v>
      </c>
      <c r="G82" s="555">
        <f>ROUND(F82*(1+(insumos!E$37/100)),2)</f>
        <v>2364.86</v>
      </c>
      <c r="H82" s="556">
        <f t="shared" si="20"/>
        <v>177364.5</v>
      </c>
      <c r="I82" s="565" t="e">
        <f t="shared" si="21"/>
        <v>#REF!</v>
      </c>
      <c r="J82" s="565" t="e">
        <f t="shared" si="22"/>
        <v>#REF!</v>
      </c>
      <c r="K82" s="566" t="e">
        <f t="shared" si="23"/>
        <v>#REF!</v>
      </c>
      <c r="L82" s="543"/>
    </row>
    <row r="83" spans="1:12" s="439" customFormat="1" ht="28.5" customHeight="1" hidden="1">
      <c r="A83" s="543"/>
      <c r="B83" s="552" t="s">
        <v>218</v>
      </c>
      <c r="C83" s="558" t="s">
        <v>220</v>
      </c>
      <c r="D83" s="557" t="s">
        <v>36</v>
      </c>
      <c r="E83" s="557">
        <v>120</v>
      </c>
      <c r="F83" s="561">
        <v>16.06</v>
      </c>
      <c r="G83" s="555">
        <f>ROUND(F83*(1+(insumos!E$37/100)),2)</f>
        <v>19.67</v>
      </c>
      <c r="H83" s="556">
        <f t="shared" si="20"/>
        <v>2360.4</v>
      </c>
      <c r="I83" s="565" t="e">
        <f t="shared" si="21"/>
        <v>#REF!</v>
      </c>
      <c r="J83" s="565" t="e">
        <f t="shared" si="22"/>
        <v>#REF!</v>
      </c>
      <c r="K83" s="566" t="e">
        <f t="shared" si="23"/>
        <v>#REF!</v>
      </c>
      <c r="L83" s="543"/>
    </row>
    <row r="84" spans="1:12" s="439" customFormat="1" ht="17.25" customHeight="1">
      <c r="A84" s="543"/>
      <c r="B84" s="552" t="s">
        <v>221</v>
      </c>
      <c r="C84" s="558" t="s">
        <v>222</v>
      </c>
      <c r="D84" s="557" t="s">
        <v>36</v>
      </c>
      <c r="E84" s="557">
        <v>120</v>
      </c>
      <c r="F84" s="561">
        <v>32</v>
      </c>
      <c r="G84" s="555">
        <f>ROUND(F84*(1+(insumos!E$37/100)),2)</f>
        <v>39.2</v>
      </c>
      <c r="H84" s="556">
        <f t="shared" si="20"/>
        <v>4704</v>
      </c>
      <c r="I84" s="565" t="e">
        <f t="shared" si="21"/>
        <v>#REF!</v>
      </c>
      <c r="J84" s="565" t="e">
        <f t="shared" si="22"/>
        <v>#REF!</v>
      </c>
      <c r="K84" s="566" t="e">
        <f t="shared" si="23"/>
        <v>#REF!</v>
      </c>
      <c r="L84" s="543"/>
    </row>
    <row r="85" spans="1:12" s="439" customFormat="1" ht="17.25" customHeight="1">
      <c r="A85" s="543"/>
      <c r="B85" s="552" t="s">
        <v>223</v>
      </c>
      <c r="C85" s="558" t="s">
        <v>224</v>
      </c>
      <c r="D85" s="557" t="s">
        <v>36</v>
      </c>
      <c r="E85" s="557">
        <v>60</v>
      </c>
      <c r="F85" s="561">
        <v>59</v>
      </c>
      <c r="G85" s="555">
        <f>ROUND(F85*(1+(insumos!E$37/100)),2)</f>
        <v>72.27</v>
      </c>
      <c r="H85" s="556">
        <f t="shared" si="20"/>
        <v>4336.2</v>
      </c>
      <c r="I85" s="565" t="e">
        <f t="shared" si="21"/>
        <v>#REF!</v>
      </c>
      <c r="J85" s="565" t="e">
        <f t="shared" si="22"/>
        <v>#REF!</v>
      </c>
      <c r="K85" s="566" t="e">
        <f t="shared" si="23"/>
        <v>#REF!</v>
      </c>
      <c r="L85" s="543"/>
    </row>
    <row r="86" spans="1:12" s="439" customFormat="1" ht="17.25" customHeight="1">
      <c r="A86" s="543"/>
      <c r="B86" s="559" t="s">
        <v>260</v>
      </c>
      <c r="C86" s="559"/>
      <c r="D86" s="559"/>
      <c r="E86" s="559"/>
      <c r="F86" s="559"/>
      <c r="G86" s="559"/>
      <c r="H86" s="560">
        <f>SUM(H62:H85)</f>
        <v>1567905.5899999999</v>
      </c>
      <c r="I86" s="567" t="e">
        <f>ROUND(H86/H$92*I$92,2)</f>
        <v>#REF!</v>
      </c>
      <c r="J86" s="568"/>
      <c r="K86" s="568"/>
      <c r="L86" s="543"/>
    </row>
    <row r="87" spans="1:12" s="439" customFormat="1" ht="17.25" customHeight="1">
      <c r="A87" s="543"/>
      <c r="B87" s="551" t="s">
        <v>261</v>
      </c>
      <c r="C87" s="551"/>
      <c r="D87" s="551"/>
      <c r="E87" s="551"/>
      <c r="F87" s="551"/>
      <c r="G87" s="551"/>
      <c r="H87" s="551"/>
      <c r="I87" s="551"/>
      <c r="J87" s="551"/>
      <c r="K87" s="551"/>
      <c r="L87" s="543"/>
    </row>
    <row r="88" spans="1:12" s="439" customFormat="1" ht="17.25" customHeight="1">
      <c r="A88" s="543"/>
      <c r="B88" s="552" t="s">
        <v>227</v>
      </c>
      <c r="C88" s="558" t="s">
        <v>262</v>
      </c>
      <c r="D88" s="557" t="s">
        <v>230</v>
      </c>
      <c r="E88" s="557">
        <v>800</v>
      </c>
      <c r="F88" s="561">
        <v>149.07</v>
      </c>
      <c r="G88" s="555">
        <f>ROUND(F88*(1+(insumos!E$37/100)),2)</f>
        <v>182.61</v>
      </c>
      <c r="H88" s="556">
        <f aca="true" t="shared" si="24" ref="H88:H90">ROUND(G88*E88,2)</f>
        <v>146088</v>
      </c>
      <c r="I88" s="565" t="e">
        <f aca="true" t="shared" si="25" ref="I88:I90">ROUND(H88/H$91*I$91,2)</f>
        <v>#REF!</v>
      </c>
      <c r="J88" s="565" t="e">
        <f aca="true" t="shared" si="26" ref="J88:J90">ROUND(I88/E88,2)</f>
        <v>#REF!</v>
      </c>
      <c r="K88" s="566" t="e">
        <f aca="true" t="shared" si="27" ref="K88:K90">G88+J88</f>
        <v>#REF!</v>
      </c>
      <c r="L88" s="543"/>
    </row>
    <row r="89" spans="1:12" s="439" customFormat="1" ht="17.25" customHeight="1">
      <c r="A89" s="543"/>
      <c r="B89" s="552" t="s">
        <v>231</v>
      </c>
      <c r="C89" s="558" t="s">
        <v>233</v>
      </c>
      <c r="D89" s="557" t="s">
        <v>230</v>
      </c>
      <c r="E89" s="557">
        <v>800</v>
      </c>
      <c r="F89" s="561">
        <v>140.37</v>
      </c>
      <c r="G89" s="555">
        <f>ROUND(F89*(1+(insumos!E$37/100)),2)</f>
        <v>171.95</v>
      </c>
      <c r="H89" s="556">
        <f t="shared" si="24"/>
        <v>137560</v>
      </c>
      <c r="I89" s="565" t="e">
        <f t="shared" si="25"/>
        <v>#REF!</v>
      </c>
      <c r="J89" s="565" t="e">
        <f t="shared" si="26"/>
        <v>#REF!</v>
      </c>
      <c r="K89" s="566" t="e">
        <f t="shared" si="27"/>
        <v>#REF!</v>
      </c>
      <c r="L89" s="543"/>
    </row>
    <row r="90" spans="1:12" s="439" customFormat="1" ht="28.5">
      <c r="A90" s="543"/>
      <c r="B90" s="552" t="s">
        <v>234</v>
      </c>
      <c r="C90" s="553" t="s">
        <v>236</v>
      </c>
      <c r="D90" s="554" t="s">
        <v>230</v>
      </c>
      <c r="E90" s="554">
        <v>400</v>
      </c>
      <c r="F90" s="561">
        <v>3.5</v>
      </c>
      <c r="G90" s="555">
        <f>ROUND(F90*(1+(insumos!E$37/100)),2)</f>
        <v>4.29</v>
      </c>
      <c r="H90" s="556">
        <f t="shared" si="24"/>
        <v>1716</v>
      </c>
      <c r="I90" s="565" t="e">
        <f t="shared" si="25"/>
        <v>#REF!</v>
      </c>
      <c r="J90" s="565" t="e">
        <f t="shared" si="26"/>
        <v>#REF!</v>
      </c>
      <c r="K90" s="566" t="e">
        <f t="shared" si="27"/>
        <v>#REF!</v>
      </c>
      <c r="L90" s="543"/>
    </row>
    <row r="91" spans="1:12" s="439" customFormat="1" ht="17.25" customHeight="1">
      <c r="A91" s="543"/>
      <c r="B91" s="559" t="s">
        <v>263</v>
      </c>
      <c r="C91" s="559"/>
      <c r="D91" s="559"/>
      <c r="E91" s="559"/>
      <c r="F91" s="559"/>
      <c r="G91" s="559"/>
      <c r="H91" s="560">
        <f>SUM(H88:H90)</f>
        <v>285364</v>
      </c>
      <c r="I91" s="567" t="e">
        <f>ROUND(H91/H$92*I$92,2)</f>
        <v>#REF!</v>
      </c>
      <c r="J91" s="568"/>
      <c r="K91" s="568"/>
      <c r="L91" s="543"/>
    </row>
    <row r="92" spans="1:12" s="439" customFormat="1" ht="17.25" customHeight="1">
      <c r="A92" s="543"/>
      <c r="B92" s="569" t="s">
        <v>264</v>
      </c>
      <c r="C92" s="569"/>
      <c r="D92" s="569"/>
      <c r="E92" s="569"/>
      <c r="F92" s="569"/>
      <c r="G92" s="570"/>
      <c r="H92" s="571">
        <f>H24+H30+H41+H49+H60+H86+H91</f>
        <v>2295990.6799999997</v>
      </c>
      <c r="I92" s="571" t="e">
        <f>#REF!</f>
        <v>#REF!</v>
      </c>
      <c r="J92" s="572"/>
      <c r="K92" s="572"/>
      <c r="L92" s="543"/>
    </row>
    <row r="93" spans="1:12" ht="14.25">
      <c r="A93" s="543"/>
      <c r="L93" s="543"/>
    </row>
  </sheetData>
  <sheetProtection selectLockedCells="1" selectUnlockedCells="1"/>
  <mergeCells count="34">
    <mergeCell ref="B3:K3"/>
    <mergeCell ref="B4:K4"/>
    <mergeCell ref="F5:H5"/>
    <mergeCell ref="I5:J5"/>
    <mergeCell ref="B7:K7"/>
    <mergeCell ref="B24:G24"/>
    <mergeCell ref="J24:K24"/>
    <mergeCell ref="B25:K25"/>
    <mergeCell ref="B30:G30"/>
    <mergeCell ref="J30:K30"/>
    <mergeCell ref="B31:K31"/>
    <mergeCell ref="B41:G41"/>
    <mergeCell ref="J41:K41"/>
    <mergeCell ref="B42:K42"/>
    <mergeCell ref="B49:G49"/>
    <mergeCell ref="J49:K49"/>
    <mergeCell ref="B50:K50"/>
    <mergeCell ref="B60:G60"/>
    <mergeCell ref="J60:K60"/>
    <mergeCell ref="B61:K61"/>
    <mergeCell ref="B86:G86"/>
    <mergeCell ref="J86:K86"/>
    <mergeCell ref="B87:K87"/>
    <mergeCell ref="B91:G91"/>
    <mergeCell ref="J91:K91"/>
    <mergeCell ref="B92:F92"/>
    <mergeCell ref="J92:K92"/>
    <mergeCell ref="A1:A93"/>
    <mergeCell ref="B5:B6"/>
    <mergeCell ref="C5:C6"/>
    <mergeCell ref="D5:D6"/>
    <mergeCell ref="E5:E6"/>
    <mergeCell ref="L1:L93"/>
    <mergeCell ref="B1:K2"/>
  </mergeCells>
  <printOptions/>
  <pageMargins left="0.9798611111111111" right="0.5902777777777778" top="0.3902777777777778" bottom="0.5902777777777778" header="0.5118055555555555" footer="0.5118055555555555"/>
  <pageSetup horizontalDpi="300" verticalDpi="300" orientation="portrait" paperSize="9" scale="28"/>
</worksheet>
</file>

<file path=xl/worksheets/sheet5.xml><?xml version="1.0" encoding="utf-8"?>
<worksheet xmlns="http://schemas.openxmlformats.org/spreadsheetml/2006/main" xmlns:r="http://schemas.openxmlformats.org/officeDocument/2006/relationships">
  <dimension ref="B1:G97"/>
  <sheetViews>
    <sheetView showGridLines="0" view="pageBreakPreview" zoomScale="90" zoomScaleSheetLayoutView="90" workbookViewId="0" topLeftCell="A76">
      <selection activeCell="F15" sqref="F15"/>
    </sheetView>
  </sheetViews>
  <sheetFormatPr defaultColWidth="9.140625" defaultRowHeight="15"/>
  <cols>
    <col min="1" max="1" width="2.7109375" style="498" bestFit="1" customWidth="1"/>
    <col min="2" max="2" width="6.8515625" style="498" bestFit="1" customWidth="1"/>
    <col min="3" max="3" width="64.57421875" style="498" bestFit="1" customWidth="1"/>
    <col min="4" max="4" width="18.7109375" style="498" bestFit="1" customWidth="1"/>
    <col min="5" max="7" width="12.57421875" style="498" bestFit="1" customWidth="1"/>
    <col min="8" max="8" width="2.7109375" style="498" bestFit="1" customWidth="1"/>
    <col min="9" max="9" width="8.7109375" style="498" bestFit="1" customWidth="1"/>
    <col min="10" max="10" width="1.7109375" style="498" bestFit="1" customWidth="1"/>
    <col min="11" max="16384" width="9.140625" style="498" bestFit="1" customWidth="1"/>
  </cols>
  <sheetData>
    <row r="1" spans="2:7" ht="18.75" customHeight="1">
      <c r="B1" s="499" t="s">
        <v>265</v>
      </c>
      <c r="C1" s="499"/>
      <c r="D1" s="499"/>
      <c r="E1" s="499"/>
      <c r="F1" s="499"/>
      <c r="G1" s="499"/>
    </row>
    <row r="2" spans="2:7" ht="9.75" customHeight="1">
      <c r="B2" s="500"/>
      <c r="C2" s="500"/>
      <c r="D2" s="500"/>
      <c r="E2" s="500"/>
      <c r="F2" s="500"/>
      <c r="G2" s="500"/>
    </row>
    <row r="3" spans="2:7" ht="36">
      <c r="B3" s="501" t="s">
        <v>2</v>
      </c>
      <c r="C3" s="502" t="s">
        <v>266</v>
      </c>
      <c r="D3" s="502" t="s">
        <v>5</v>
      </c>
      <c r="E3" s="502" t="s">
        <v>6</v>
      </c>
      <c r="F3" s="502" t="s">
        <v>267</v>
      </c>
      <c r="G3" s="503" t="s">
        <v>8</v>
      </c>
    </row>
    <row r="4" spans="2:7" ht="12">
      <c r="B4" s="504">
        <v>1</v>
      </c>
      <c r="C4" s="505" t="s">
        <v>268</v>
      </c>
      <c r="D4" s="467" t="s">
        <v>269</v>
      </c>
      <c r="E4" s="467">
        <v>1</v>
      </c>
      <c r="F4" s="506">
        <f>G97</f>
        <v>1959.8359285714284</v>
      </c>
      <c r="G4" s="507">
        <f aca="true" t="shared" si="0" ref="G4:G6">F4*E4</f>
        <v>1959.8359285714284</v>
      </c>
    </row>
    <row r="5" spans="2:7" ht="12">
      <c r="B5" s="504">
        <v>2</v>
      </c>
      <c r="C5" s="505" t="s">
        <v>270</v>
      </c>
      <c r="D5" s="467" t="s">
        <v>269</v>
      </c>
      <c r="E5" s="467">
        <v>1</v>
      </c>
      <c r="F5" s="506">
        <f>E71</f>
        <v>131.53</v>
      </c>
      <c r="G5" s="507">
        <f t="shared" si="0"/>
        <v>131.53</v>
      </c>
    </row>
    <row r="6" spans="2:7" ht="12">
      <c r="B6" s="504">
        <v>3</v>
      </c>
      <c r="C6" s="505" t="s">
        <v>271</v>
      </c>
      <c r="D6" s="467" t="s">
        <v>269</v>
      </c>
      <c r="E6" s="467">
        <v>1</v>
      </c>
      <c r="F6" s="506">
        <f>E79</f>
        <v>135.08</v>
      </c>
      <c r="G6" s="507">
        <f t="shared" si="0"/>
        <v>135.08</v>
      </c>
    </row>
    <row r="7" spans="2:7" ht="12.75">
      <c r="B7" s="508" t="s">
        <v>272</v>
      </c>
      <c r="C7" s="508"/>
      <c r="D7" s="508"/>
      <c r="E7" s="508"/>
      <c r="F7" s="508"/>
      <c r="G7" s="509">
        <f>SUM(G4:G6)</f>
        <v>2226.4459285714283</v>
      </c>
    </row>
    <row r="8" ht="6" customHeight="1"/>
    <row r="9" ht="6" customHeight="1"/>
    <row r="10" spans="2:7" ht="12" customHeight="1">
      <c r="B10" s="510"/>
      <c r="C10" s="511" t="s">
        <v>273</v>
      </c>
      <c r="D10" s="511"/>
      <c r="E10" s="511"/>
      <c r="F10" s="510"/>
      <c r="G10" s="512"/>
    </row>
    <row r="11" spans="2:7" ht="12" customHeight="1">
      <c r="B11" s="510"/>
      <c r="C11" s="513" t="s">
        <v>274</v>
      </c>
      <c r="D11" s="514" t="s">
        <v>275</v>
      </c>
      <c r="E11" s="515">
        <v>75</v>
      </c>
      <c r="F11" s="516"/>
      <c r="G11" s="512"/>
    </row>
    <row r="12" spans="2:7" ht="12" customHeight="1">
      <c r="B12" s="510"/>
      <c r="C12" s="513" t="s">
        <v>276</v>
      </c>
      <c r="D12" s="514" t="s">
        <v>277</v>
      </c>
      <c r="E12" s="515">
        <v>93.69</v>
      </c>
      <c r="F12" s="516"/>
      <c r="G12" s="512"/>
    </row>
    <row r="13" spans="3:6" ht="12" customHeight="1">
      <c r="C13" s="513" t="s">
        <v>278</v>
      </c>
      <c r="D13" s="514" t="s">
        <v>279</v>
      </c>
      <c r="E13" s="517">
        <f>E78</f>
        <v>0.0054</v>
      </c>
      <c r="F13" s="516"/>
    </row>
    <row r="14" spans="3:6" ht="12" customHeight="1">
      <c r="C14" s="513" t="s">
        <v>280</v>
      </c>
      <c r="D14" s="514" t="s">
        <v>281</v>
      </c>
      <c r="E14" s="515">
        <v>9</v>
      </c>
      <c r="F14" s="516"/>
    </row>
    <row r="15" spans="3:6" ht="12" customHeight="1">
      <c r="C15" s="513" t="s">
        <v>282</v>
      </c>
      <c r="D15" s="514" t="s">
        <v>283</v>
      </c>
      <c r="E15" s="515">
        <v>105.65</v>
      </c>
      <c r="F15" s="516"/>
    </row>
    <row r="16" spans="3:6" ht="12" customHeight="1">
      <c r="C16" s="513" t="s">
        <v>284</v>
      </c>
      <c r="D16" s="514" t="s">
        <v>283</v>
      </c>
      <c r="E16" s="515">
        <v>68.13</v>
      </c>
      <c r="F16" s="516"/>
    </row>
    <row r="17" spans="3:6" ht="12" customHeight="1">
      <c r="C17" s="513" t="s">
        <v>285</v>
      </c>
      <c r="D17" s="514" t="s">
        <v>286</v>
      </c>
      <c r="E17" s="515">
        <v>2.5</v>
      </c>
      <c r="F17" s="516"/>
    </row>
    <row r="18" spans="3:6" ht="12" customHeight="1">
      <c r="C18" s="513" t="s">
        <v>287</v>
      </c>
      <c r="D18" s="514" t="s">
        <v>286</v>
      </c>
      <c r="E18" s="515">
        <v>4.5</v>
      </c>
      <c r="F18" s="516"/>
    </row>
    <row r="19" ht="6" customHeight="1"/>
    <row r="20" spans="3:5" ht="12" customHeight="1">
      <c r="C20" s="511" t="s">
        <v>288</v>
      </c>
      <c r="D20" s="511"/>
      <c r="E20" s="518"/>
    </row>
    <row r="21" spans="3:5" ht="12" customHeight="1">
      <c r="C21" s="519" t="s">
        <v>289</v>
      </c>
      <c r="D21" s="519" t="s">
        <v>290</v>
      </c>
      <c r="E21" s="520"/>
    </row>
    <row r="22" spans="3:5" ht="12" customHeight="1">
      <c r="C22" s="513" t="str">
        <f>insumos!C32</f>
        <v>Veículo 1.0, 4 Portas com Ar Condicionado, Direção Hidráulica e Trio Elétrico</v>
      </c>
      <c r="D22" s="514" t="s">
        <v>291</v>
      </c>
      <c r="E22" s="521"/>
    </row>
    <row r="23" ht="6" customHeight="1"/>
    <row r="24" spans="3:5" ht="12" customHeight="1">
      <c r="C24" s="511" t="s">
        <v>292</v>
      </c>
      <c r="D24" s="511"/>
      <c r="E24" s="511"/>
    </row>
    <row r="25" spans="3:5" ht="12" customHeight="1">
      <c r="C25" s="513" t="s">
        <v>293</v>
      </c>
      <c r="D25" s="514" t="s">
        <v>294</v>
      </c>
      <c r="E25" s="522">
        <v>100</v>
      </c>
    </row>
    <row r="26" spans="3:5" ht="12" customHeight="1">
      <c r="C26" s="513" t="s">
        <v>295</v>
      </c>
      <c r="D26" s="514" t="s">
        <v>296</v>
      </c>
      <c r="E26" s="522">
        <v>25.16</v>
      </c>
    </row>
    <row r="27" spans="3:5" ht="12" customHeight="1">
      <c r="C27" s="513" t="s">
        <v>297</v>
      </c>
      <c r="D27" s="514" t="s">
        <v>298</v>
      </c>
      <c r="E27" s="522">
        <f>ROUND(E25*E26,2)</f>
        <v>2516</v>
      </c>
    </row>
    <row r="28" spans="3:5" ht="12" customHeight="1">
      <c r="C28" s="513" t="s">
        <v>299</v>
      </c>
      <c r="D28" s="514" t="s">
        <v>300</v>
      </c>
      <c r="E28" s="522">
        <v>150000</v>
      </c>
    </row>
    <row r="29" ht="6" customHeight="1"/>
    <row r="30" spans="3:5" ht="12" customHeight="1">
      <c r="C30" s="511" t="s">
        <v>301</v>
      </c>
      <c r="D30" s="511"/>
      <c r="E30" s="511"/>
    </row>
    <row r="31" spans="3:5" ht="12" customHeight="1">
      <c r="C31" s="513" t="s">
        <v>302</v>
      </c>
      <c r="D31" s="514" t="s">
        <v>300</v>
      </c>
      <c r="E31" s="522">
        <f>E27</f>
        <v>2516</v>
      </c>
    </row>
    <row r="32" spans="3:5" ht="12" customHeight="1">
      <c r="C32" s="513" t="s">
        <v>303</v>
      </c>
      <c r="D32" s="514" t="s">
        <v>304</v>
      </c>
      <c r="E32" s="522">
        <v>7</v>
      </c>
    </row>
    <row r="33" spans="3:5" ht="12" customHeight="1">
      <c r="C33" s="513" t="s">
        <v>305</v>
      </c>
      <c r="D33" s="514" t="s">
        <v>306</v>
      </c>
      <c r="E33" s="522">
        <f>E31/E32</f>
        <v>359.42857142857144</v>
      </c>
    </row>
    <row r="34" spans="3:5" ht="12" customHeight="1">
      <c r="C34" s="513" t="s">
        <v>307</v>
      </c>
      <c r="D34" s="514" t="s">
        <v>308</v>
      </c>
      <c r="E34" s="522">
        <f>insumos!E23</f>
        <v>2.85</v>
      </c>
    </row>
    <row r="35" spans="3:5" ht="12" customHeight="1">
      <c r="C35" s="523" t="s">
        <v>309</v>
      </c>
      <c r="D35" s="524" t="s">
        <v>310</v>
      </c>
      <c r="E35" s="525">
        <f>E33*E34</f>
        <v>1024.3714285714286</v>
      </c>
    </row>
    <row r="36" ht="6" customHeight="1"/>
    <row r="37" spans="3:5" ht="12" customHeight="1">
      <c r="C37" s="511" t="s">
        <v>311</v>
      </c>
      <c r="D37" s="511"/>
      <c r="E37" s="511"/>
    </row>
    <row r="38" spans="3:5" ht="12" customHeight="1">
      <c r="C38" s="513" t="s">
        <v>312</v>
      </c>
      <c r="D38" s="514" t="s">
        <v>281</v>
      </c>
      <c r="E38" s="522">
        <f>E11</f>
        <v>75</v>
      </c>
    </row>
    <row r="39" spans="3:5" ht="12" customHeight="1">
      <c r="C39" s="513" t="s">
        <v>313</v>
      </c>
      <c r="D39" s="514" t="s">
        <v>314</v>
      </c>
      <c r="E39" s="522">
        <f>insumos!E$32</f>
        <v>25014</v>
      </c>
    </row>
    <row r="40" spans="3:5" ht="12" customHeight="1">
      <c r="C40" s="513" t="s">
        <v>299</v>
      </c>
      <c r="D40" s="514" t="s">
        <v>315</v>
      </c>
      <c r="E40" s="522">
        <v>60</v>
      </c>
    </row>
    <row r="41" spans="3:5" ht="12" customHeight="1">
      <c r="C41" s="523" t="s">
        <v>316</v>
      </c>
      <c r="D41" s="524" t="s">
        <v>310</v>
      </c>
      <c r="E41" s="525">
        <f>(E38/100*E39)/E40</f>
        <v>312.675</v>
      </c>
    </row>
    <row r="42" ht="6" customHeight="1"/>
    <row r="43" spans="3:5" ht="12" customHeight="1">
      <c r="C43" s="511" t="s">
        <v>317</v>
      </c>
      <c r="D43" s="511"/>
      <c r="E43" s="511"/>
    </row>
    <row r="44" spans="3:5" ht="12" customHeight="1">
      <c r="C44" s="513" t="s">
        <v>318</v>
      </c>
      <c r="D44" s="526" t="s">
        <v>310</v>
      </c>
      <c r="E44" s="522">
        <f>ROUND(insumos!E$24*7*E27/5000,2)</f>
        <v>50.02</v>
      </c>
    </row>
    <row r="45" spans="3:5" ht="12" customHeight="1">
      <c r="C45" s="513" t="s">
        <v>319</v>
      </c>
      <c r="D45" s="526" t="s">
        <v>310</v>
      </c>
      <c r="E45" s="522">
        <f>ROUND(insumos!E$25*2*E27/3000,2)</f>
        <v>26.17</v>
      </c>
    </row>
    <row r="46" spans="3:5" ht="12" customHeight="1">
      <c r="C46" s="513" t="s">
        <v>320</v>
      </c>
      <c r="D46" s="526" t="s">
        <v>310</v>
      </c>
      <c r="E46" s="522">
        <f>ROUND(insumos!E$26*1*E27/3000,2)</f>
        <v>12.22</v>
      </c>
    </row>
    <row r="47" spans="3:5" ht="12" customHeight="1">
      <c r="C47" s="513" t="s">
        <v>321</v>
      </c>
      <c r="D47" s="526" t="s">
        <v>310</v>
      </c>
      <c r="E47" s="522">
        <f>ROUND(insumos!E$27*1.8*E27/3000,2)</f>
        <v>17.56</v>
      </c>
    </row>
    <row r="48" spans="3:5" ht="12" customHeight="1">
      <c r="C48" s="513" t="s">
        <v>322</v>
      </c>
      <c r="D48" s="526" t="s">
        <v>310</v>
      </c>
      <c r="E48" s="522">
        <f>ROUND(insumos!E$28*4.33,2)</f>
        <v>129.9</v>
      </c>
    </row>
    <row r="49" spans="3:5" ht="12" customHeight="1">
      <c r="C49" s="513" t="s">
        <v>323</v>
      </c>
      <c r="D49" s="526" t="s">
        <v>310</v>
      </c>
      <c r="E49" s="522">
        <f>ROUND(15*SUM(E44:E47)/100,2)</f>
        <v>15.9</v>
      </c>
    </row>
    <row r="50" spans="3:5" ht="12" customHeight="1">
      <c r="C50" s="523" t="s">
        <v>324</v>
      </c>
      <c r="D50" s="524" t="s">
        <v>310</v>
      </c>
      <c r="E50" s="525">
        <f>SUM(E44:E49)</f>
        <v>251.77</v>
      </c>
    </row>
    <row r="51" ht="6" customHeight="1"/>
    <row r="52" spans="3:5" ht="12" customHeight="1">
      <c r="C52" s="511" t="s">
        <v>325</v>
      </c>
      <c r="D52" s="511"/>
      <c r="E52" s="511"/>
    </row>
    <row r="53" spans="3:5" ht="12" customHeight="1">
      <c r="C53" s="513" t="s">
        <v>326</v>
      </c>
      <c r="D53" s="514" t="s">
        <v>327</v>
      </c>
      <c r="E53" s="522">
        <v>4</v>
      </c>
    </row>
    <row r="54" spans="3:5" ht="12" customHeight="1">
      <c r="C54" s="513" t="s">
        <v>328</v>
      </c>
      <c r="D54" s="514" t="s">
        <v>314</v>
      </c>
      <c r="E54" s="522">
        <f>insumos!E29</f>
        <v>220.17</v>
      </c>
    </row>
    <row r="55" spans="3:5" ht="12" customHeight="1">
      <c r="C55" s="513" t="s">
        <v>329</v>
      </c>
      <c r="D55" s="514" t="s">
        <v>298</v>
      </c>
      <c r="E55" s="522">
        <f>E27</f>
        <v>2516</v>
      </c>
    </row>
    <row r="56" spans="3:5" ht="12" customHeight="1">
      <c r="C56" s="513" t="s">
        <v>330</v>
      </c>
      <c r="D56" s="526" t="s">
        <v>298</v>
      </c>
      <c r="E56" s="522">
        <v>30000</v>
      </c>
    </row>
    <row r="57" spans="3:5" ht="12" customHeight="1">
      <c r="C57" s="523" t="s">
        <v>331</v>
      </c>
      <c r="D57" s="524" t="s">
        <v>310</v>
      </c>
      <c r="E57" s="525">
        <f>ROUND(E53*E54*E55/E56,2)</f>
        <v>73.86</v>
      </c>
    </row>
    <row r="58" ht="6" customHeight="1"/>
    <row r="59" spans="3:5" ht="12" customHeight="1">
      <c r="C59" s="511" t="s">
        <v>332</v>
      </c>
      <c r="D59" s="511"/>
      <c r="E59" s="511"/>
    </row>
    <row r="60" spans="3:5" ht="12" customHeight="1">
      <c r="C60" s="513" t="s">
        <v>313</v>
      </c>
      <c r="D60" s="514" t="s">
        <v>314</v>
      </c>
      <c r="E60" s="522">
        <f>insumos!E$32</f>
        <v>25014</v>
      </c>
    </row>
    <row r="61" spans="3:7" ht="12" customHeight="1">
      <c r="C61" s="513" t="s">
        <v>285</v>
      </c>
      <c r="D61" s="526" t="s">
        <v>310</v>
      </c>
      <c r="E61" s="522">
        <f>ROUND(E17/100*E60/12,2)</f>
        <v>52.11</v>
      </c>
      <c r="F61" s="527"/>
      <c r="G61" s="528"/>
    </row>
    <row r="62" spans="3:7" ht="12" customHeight="1">
      <c r="C62" s="513" t="s">
        <v>282</v>
      </c>
      <c r="D62" s="526" t="s">
        <v>310</v>
      </c>
      <c r="E62" s="522">
        <f aca="true" t="shared" si="1" ref="E62:E63">ROUND(E15/12,2)</f>
        <v>8.8</v>
      </c>
      <c r="F62" s="527"/>
      <c r="G62" s="528"/>
    </row>
    <row r="63" spans="3:7" ht="12" customHeight="1">
      <c r="C63" s="513" t="s">
        <v>333</v>
      </c>
      <c r="D63" s="526" t="s">
        <v>310</v>
      </c>
      <c r="E63" s="522">
        <f t="shared" si="1"/>
        <v>5.68</v>
      </c>
      <c r="F63" s="527"/>
      <c r="G63" s="528"/>
    </row>
    <row r="64" spans="3:7" ht="12" customHeight="1">
      <c r="C64" s="513" t="s">
        <v>287</v>
      </c>
      <c r="D64" s="526" t="s">
        <v>310</v>
      </c>
      <c r="E64" s="522">
        <f>ROUND(E18/100*E60/12,2)</f>
        <v>93.8</v>
      </c>
      <c r="F64" s="527"/>
      <c r="G64" s="528"/>
    </row>
    <row r="65" spans="3:7" ht="12" customHeight="1">
      <c r="C65" s="523" t="s">
        <v>334</v>
      </c>
      <c r="D65" s="524" t="s">
        <v>310</v>
      </c>
      <c r="E65" s="525">
        <f>SUM(E61:E64)</f>
        <v>160.39</v>
      </c>
      <c r="F65" s="527"/>
      <c r="G65" s="528"/>
    </row>
    <row r="66" ht="6" customHeight="1"/>
    <row r="67" spans="3:7" ht="12" customHeight="1">
      <c r="C67" s="511" t="s">
        <v>335</v>
      </c>
      <c r="D67" s="511"/>
      <c r="E67" s="511"/>
      <c r="F67" s="527"/>
      <c r="G67" s="528"/>
    </row>
    <row r="68" spans="3:7" ht="12" customHeight="1">
      <c r="C68" s="513" t="s">
        <v>336</v>
      </c>
      <c r="D68" s="514" t="s">
        <v>314</v>
      </c>
      <c r="E68" s="522">
        <f>insumos!E$32</f>
        <v>25014</v>
      </c>
      <c r="F68" s="527"/>
      <c r="G68" s="528"/>
    </row>
    <row r="69" spans="3:7" ht="12" customHeight="1">
      <c r="C69" s="513" t="s">
        <v>337</v>
      </c>
      <c r="D69" s="526" t="s">
        <v>281</v>
      </c>
      <c r="E69" s="522">
        <f>100-E12</f>
        <v>6.310000000000002</v>
      </c>
      <c r="F69" s="527"/>
      <c r="G69" s="528"/>
    </row>
    <row r="70" spans="3:7" ht="12" customHeight="1">
      <c r="C70" s="513" t="s">
        <v>338</v>
      </c>
      <c r="D70" s="526" t="s">
        <v>315</v>
      </c>
      <c r="E70" s="522">
        <v>12</v>
      </c>
      <c r="F70" s="527"/>
      <c r="G70" s="528"/>
    </row>
    <row r="71" spans="3:7" ht="12" customHeight="1">
      <c r="C71" s="523" t="s">
        <v>339</v>
      </c>
      <c r="D71" s="524" t="s">
        <v>310</v>
      </c>
      <c r="E71" s="525">
        <f>ROUND((E68*E69/100)/E70,2)</f>
        <v>131.53</v>
      </c>
      <c r="F71" s="527"/>
      <c r="G71" s="528"/>
    </row>
    <row r="72" ht="6" customHeight="1"/>
    <row r="73" spans="3:7" ht="12" customHeight="1">
      <c r="C73" s="511" t="s">
        <v>340</v>
      </c>
      <c r="D73" s="511"/>
      <c r="E73" s="511"/>
      <c r="F73" s="527"/>
      <c r="G73" s="528"/>
    </row>
    <row r="74" spans="3:7" ht="12" customHeight="1">
      <c r="C74" s="513" t="s">
        <v>341</v>
      </c>
      <c r="D74" s="514" t="s">
        <v>314</v>
      </c>
      <c r="E74" s="522">
        <f>insumos!E$32</f>
        <v>25014</v>
      </c>
      <c r="F74" s="527"/>
      <c r="G74" s="528"/>
    </row>
    <row r="75" spans="3:7" ht="12" customHeight="1">
      <c r="C75" s="513" t="s">
        <v>342</v>
      </c>
      <c r="D75" s="526" t="s">
        <v>343</v>
      </c>
      <c r="E75" s="522">
        <v>5</v>
      </c>
      <c r="F75" s="527"/>
      <c r="G75" s="528"/>
    </row>
    <row r="76" spans="3:7" ht="12" customHeight="1">
      <c r="C76" s="513" t="s">
        <v>344</v>
      </c>
      <c r="D76" s="526" t="s">
        <v>281</v>
      </c>
      <c r="E76" s="522">
        <v>30</v>
      </c>
      <c r="F76" s="527"/>
      <c r="G76" s="528"/>
    </row>
    <row r="77" spans="3:7" ht="12" customHeight="1">
      <c r="C77" s="513" t="s">
        <v>345</v>
      </c>
      <c r="D77" s="526" t="s">
        <v>346</v>
      </c>
      <c r="E77" s="522">
        <f>E14</f>
        <v>9</v>
      </c>
      <c r="F77" s="527"/>
      <c r="G77" s="528"/>
    </row>
    <row r="78" spans="3:7" ht="12" customHeight="1">
      <c r="C78" s="513" t="s">
        <v>347</v>
      </c>
      <c r="D78" s="526" t="s">
        <v>279</v>
      </c>
      <c r="E78" s="529">
        <f>(2+(E75-1)*(E76/100+1))/(24*E75)*(E77/100)</f>
        <v>0.0054</v>
      </c>
      <c r="F78" s="527"/>
      <c r="G78" s="528"/>
    </row>
    <row r="79" spans="3:7" ht="12" customHeight="1">
      <c r="C79" s="523" t="s">
        <v>348</v>
      </c>
      <c r="D79" s="524" t="s">
        <v>310</v>
      </c>
      <c r="E79" s="525">
        <f>ROUND(E74*E78,2)</f>
        <v>135.08</v>
      </c>
      <c r="F79" s="527"/>
      <c r="G79" s="528"/>
    </row>
    <row r="80" ht="6" customHeight="1"/>
    <row r="81" ht="6" customHeight="1"/>
    <row r="82" ht="14.25">
      <c r="C82" s="530" t="s">
        <v>349</v>
      </c>
    </row>
    <row r="83" spans="3:7" ht="36">
      <c r="C83" s="531" t="s">
        <v>266</v>
      </c>
      <c r="D83" s="531" t="s">
        <v>5</v>
      </c>
      <c r="E83" s="531" t="s">
        <v>6</v>
      </c>
      <c r="F83" s="531" t="s">
        <v>267</v>
      </c>
      <c r="G83" s="531" t="s">
        <v>8</v>
      </c>
    </row>
    <row r="84" spans="3:7" ht="12" customHeight="1">
      <c r="C84" s="532" t="s">
        <v>350</v>
      </c>
      <c r="D84" s="532"/>
      <c r="E84" s="532"/>
      <c r="F84" s="532"/>
      <c r="G84" s="532"/>
    </row>
    <row r="85" spans="3:7" ht="12">
      <c r="C85" s="533" t="s">
        <v>351</v>
      </c>
      <c r="D85" s="526" t="s">
        <v>310</v>
      </c>
      <c r="E85" s="534">
        <v>1</v>
      </c>
      <c r="F85" s="535">
        <f>E35</f>
        <v>1024.3714285714286</v>
      </c>
      <c r="G85" s="536">
        <f aca="true" t="shared" si="2" ref="G85:G87">E85*F85</f>
        <v>1024.3714285714286</v>
      </c>
    </row>
    <row r="86" spans="3:7" ht="12" customHeight="1">
      <c r="C86" s="533" t="str">
        <f>C50</f>
        <v>Custo Mensal de Lavagem e Lubrificação</v>
      </c>
      <c r="D86" s="526" t="s">
        <v>310</v>
      </c>
      <c r="E86" s="534">
        <v>1</v>
      </c>
      <c r="F86" s="535">
        <f>E50</f>
        <v>251.77</v>
      </c>
      <c r="G86" s="536">
        <f t="shared" si="2"/>
        <v>251.77</v>
      </c>
    </row>
    <row r="87" spans="3:7" ht="12" customHeight="1">
      <c r="C87" s="537" t="str">
        <f>C57</f>
        <v>Custo Mensal com Pneus</v>
      </c>
      <c r="D87" s="526" t="s">
        <v>310</v>
      </c>
      <c r="E87" s="534">
        <v>1</v>
      </c>
      <c r="F87" s="535">
        <f>E57</f>
        <v>73.86</v>
      </c>
      <c r="G87" s="536">
        <f t="shared" si="2"/>
        <v>73.86</v>
      </c>
    </row>
    <row r="88" spans="3:7" ht="12" customHeight="1">
      <c r="C88" s="538" t="s">
        <v>352</v>
      </c>
      <c r="D88" s="538"/>
      <c r="E88" s="538"/>
      <c r="F88" s="538"/>
      <c r="G88" s="539">
        <f>SUM(G85:G87)</f>
        <v>1350.0014285714285</v>
      </c>
    </row>
    <row r="89" spans="3:7" ht="12" customHeight="1">
      <c r="C89" s="532" t="s">
        <v>353</v>
      </c>
      <c r="D89" s="532"/>
      <c r="E89" s="532"/>
      <c r="F89" s="532"/>
      <c r="G89" s="532"/>
    </row>
    <row r="90" spans="3:7" ht="12" customHeight="1">
      <c r="C90" s="533" t="str">
        <f>C41</f>
        <v>Custo Mensal de Manutenção</v>
      </c>
      <c r="D90" s="526" t="s">
        <v>310</v>
      </c>
      <c r="E90" s="534">
        <v>1</v>
      </c>
      <c r="F90" s="535">
        <f>E41</f>
        <v>312.675</v>
      </c>
      <c r="G90" s="536">
        <f aca="true" t="shared" si="3" ref="G90:G92">E90*F90</f>
        <v>312.675</v>
      </c>
    </row>
    <row r="91" spans="3:7" ht="12" customHeight="1">
      <c r="C91" s="537" t="str">
        <f>C65</f>
        <v>Custo Mensal com Licenciamento do Veículo</v>
      </c>
      <c r="D91" s="526" t="s">
        <v>310</v>
      </c>
      <c r="E91" s="534">
        <v>1</v>
      </c>
      <c r="F91" s="535">
        <f>E65</f>
        <v>160.39</v>
      </c>
      <c r="G91" s="536">
        <f t="shared" si="3"/>
        <v>160.39</v>
      </c>
    </row>
    <row r="92" spans="3:7" ht="12" customHeight="1">
      <c r="C92" s="537" t="s">
        <v>354</v>
      </c>
      <c r="D92" s="526" t="s">
        <v>310</v>
      </c>
      <c r="E92" s="534">
        <v>1</v>
      </c>
      <c r="F92" s="535">
        <f>insumos!E30</f>
        <v>81.33</v>
      </c>
      <c r="G92" s="536">
        <f t="shared" si="3"/>
        <v>81.33</v>
      </c>
    </row>
    <row r="93" spans="3:7" ht="12" customHeight="1">
      <c r="C93" s="538" t="s">
        <v>355</v>
      </c>
      <c r="D93" s="538"/>
      <c r="E93" s="538"/>
      <c r="F93" s="538"/>
      <c r="G93" s="539">
        <f>SUM(G90:G92)</f>
        <v>554.395</v>
      </c>
    </row>
    <row r="94" spans="3:7" ht="12" customHeight="1">
      <c r="C94" s="532" t="s">
        <v>356</v>
      </c>
      <c r="D94" s="532"/>
      <c r="E94" s="532"/>
      <c r="F94" s="532"/>
      <c r="G94" s="532"/>
    </row>
    <row r="95" spans="3:7" ht="12" customHeight="1">
      <c r="C95" s="533" t="s">
        <v>357</v>
      </c>
      <c r="D95" s="526" t="s">
        <v>281</v>
      </c>
      <c r="E95" s="534">
        <v>10</v>
      </c>
      <c r="F95" s="535">
        <f>G93</f>
        <v>554.395</v>
      </c>
      <c r="G95" s="536">
        <f>E95*F95/100</f>
        <v>55.439499999999995</v>
      </c>
    </row>
    <row r="96" spans="3:7" ht="12" customHeight="1">
      <c r="C96" s="538" t="s">
        <v>358</v>
      </c>
      <c r="D96" s="538"/>
      <c r="E96" s="538"/>
      <c r="F96" s="538"/>
      <c r="G96" s="539">
        <f>SUM(G95)</f>
        <v>55.439499999999995</v>
      </c>
    </row>
    <row r="97" spans="3:7" ht="12">
      <c r="C97" s="540" t="s">
        <v>359</v>
      </c>
      <c r="D97" s="540"/>
      <c r="E97" s="540"/>
      <c r="F97" s="540"/>
      <c r="G97" s="541">
        <f>G88+G93+G95</f>
        <v>1959.8359285714284</v>
      </c>
    </row>
  </sheetData>
  <sheetProtection selectLockedCells="1" selectUnlockedCells="1"/>
  <mergeCells count="20">
    <mergeCell ref="B1:G1"/>
    <mergeCell ref="B2:G2"/>
    <mergeCell ref="B7:F7"/>
    <mergeCell ref="C10:E10"/>
    <mergeCell ref="C20:D20"/>
    <mergeCell ref="C24:E24"/>
    <mergeCell ref="C30:E30"/>
    <mergeCell ref="C37:E37"/>
    <mergeCell ref="C43:E43"/>
    <mergeCell ref="C52:E52"/>
    <mergeCell ref="C59:E59"/>
    <mergeCell ref="C67:E67"/>
    <mergeCell ref="C73:E73"/>
    <mergeCell ref="C84:G84"/>
    <mergeCell ref="C88:F88"/>
    <mergeCell ref="C89:G89"/>
    <mergeCell ref="C93:F93"/>
    <mergeCell ref="C94:G94"/>
    <mergeCell ref="C96:F96"/>
    <mergeCell ref="C97:F97"/>
  </mergeCells>
  <printOptions/>
  <pageMargins left="0.9798611111111111" right="0.5902777777777778" top="0.3902777777777778" bottom="0.5902777777777778" header="0.5118055555555555" footer="0.5118055555555555"/>
  <pageSetup horizontalDpi="300" verticalDpi="300" orientation="portrait" paperSize="9" scale="64"/>
</worksheet>
</file>

<file path=xl/worksheets/sheet6.xml><?xml version="1.0" encoding="utf-8"?>
<worksheet xmlns="http://schemas.openxmlformats.org/spreadsheetml/2006/main" xmlns:r="http://schemas.openxmlformats.org/officeDocument/2006/relationships">
  <dimension ref="B1:H37"/>
  <sheetViews>
    <sheetView showGridLines="0" view="pageBreakPreview" zoomScaleSheetLayoutView="100" workbookViewId="0" topLeftCell="A1">
      <selection activeCell="C44" sqref="C44"/>
    </sheetView>
  </sheetViews>
  <sheetFormatPr defaultColWidth="9.140625" defaultRowHeight="15"/>
  <cols>
    <col min="1" max="1" width="2.7109375" style="439" bestFit="1" customWidth="1"/>
    <col min="2" max="2" width="10.57421875" style="439" bestFit="1" customWidth="1"/>
    <col min="3" max="3" width="90.421875" style="439" bestFit="1" customWidth="1"/>
    <col min="4" max="4" width="14.140625" style="439" bestFit="1" customWidth="1"/>
    <col min="5" max="5" width="21.28125" style="439" bestFit="1" customWidth="1"/>
    <col min="6" max="6" width="2.7109375" style="439" bestFit="1" customWidth="1"/>
    <col min="7" max="16384" width="9.140625" style="439" bestFit="1" customWidth="1"/>
  </cols>
  <sheetData>
    <row r="1" spans="2:5" ht="15" customHeight="1">
      <c r="B1" s="459" t="s">
        <v>360</v>
      </c>
      <c r="C1" s="459"/>
      <c r="D1" s="459"/>
      <c r="E1" s="459"/>
    </row>
    <row r="2" spans="2:5" ht="14.25" customHeight="1">
      <c r="B2" s="459"/>
      <c r="C2" s="459"/>
      <c r="D2" s="459"/>
      <c r="E2" s="459"/>
    </row>
    <row r="3" spans="2:5" ht="14.25" customHeight="1">
      <c r="B3" s="459"/>
      <c r="C3" s="459"/>
      <c r="D3" s="459"/>
      <c r="E3" s="459"/>
    </row>
    <row r="4" spans="2:5" ht="18" customHeight="1">
      <c r="B4" s="460" t="s">
        <v>361</v>
      </c>
      <c r="C4" s="460"/>
      <c r="D4" s="460"/>
      <c r="E4" s="460"/>
    </row>
    <row r="5" spans="2:5" ht="18" customHeight="1">
      <c r="B5" s="461" t="s">
        <v>2</v>
      </c>
      <c r="C5" s="462" t="s">
        <v>4</v>
      </c>
      <c r="D5" s="462" t="s">
        <v>5</v>
      </c>
      <c r="E5" s="463" t="s">
        <v>362</v>
      </c>
    </row>
    <row r="6" spans="2:5" ht="18" customHeight="1">
      <c r="B6" s="464" t="s">
        <v>363</v>
      </c>
      <c r="C6" s="464"/>
      <c r="D6" s="464"/>
      <c r="E6" s="464"/>
    </row>
    <row r="7" spans="2:5" ht="18" customHeight="1">
      <c r="B7" s="465" t="s">
        <v>364</v>
      </c>
      <c r="C7" s="466" t="s">
        <v>365</v>
      </c>
      <c r="D7" s="467" t="s">
        <v>366</v>
      </c>
      <c r="E7" s="468">
        <f>5*678</f>
        <v>3390</v>
      </c>
    </row>
    <row r="8" spans="2:5" ht="18" customHeight="1">
      <c r="B8" s="465" t="s">
        <v>367</v>
      </c>
      <c r="C8" s="466" t="s">
        <v>368</v>
      </c>
      <c r="D8" s="467" t="s">
        <v>366</v>
      </c>
      <c r="E8" s="468">
        <f>1.5*678</f>
        <v>1017</v>
      </c>
    </row>
    <row r="9" spans="2:5" ht="18" customHeight="1">
      <c r="B9" s="465" t="s">
        <v>369</v>
      </c>
      <c r="C9" s="466" t="s">
        <v>370</v>
      </c>
      <c r="D9" s="467" t="s">
        <v>366</v>
      </c>
      <c r="E9" s="468">
        <f>2*678</f>
        <v>1356</v>
      </c>
    </row>
    <row r="10" spans="2:5" ht="18" customHeight="1">
      <c r="B10" s="465" t="s">
        <v>371</v>
      </c>
      <c r="C10" s="466" t="s">
        <v>372</v>
      </c>
      <c r="D10" s="467" t="s">
        <v>366</v>
      </c>
      <c r="E10" s="469">
        <v>946.43</v>
      </c>
    </row>
    <row r="11" spans="2:5" ht="18" customHeight="1">
      <c r="B11" s="465" t="s">
        <v>373</v>
      </c>
      <c r="C11" s="466" t="s">
        <v>374</v>
      </c>
      <c r="D11" s="467" t="s">
        <v>366</v>
      </c>
      <c r="E11" s="469">
        <v>678</v>
      </c>
    </row>
    <row r="12" spans="2:5" ht="18" customHeight="1">
      <c r="B12" s="464" t="s">
        <v>375</v>
      </c>
      <c r="C12" s="464"/>
      <c r="D12" s="464"/>
      <c r="E12" s="464"/>
    </row>
    <row r="13" spans="2:5" ht="14.25" customHeight="1">
      <c r="B13" s="470" t="s">
        <v>376</v>
      </c>
      <c r="C13" s="471" t="s">
        <v>377</v>
      </c>
      <c r="D13" s="472" t="s">
        <v>281</v>
      </c>
      <c r="E13" s="473" t="e">
        <f>#REF!</f>
        <v>#REF!</v>
      </c>
    </row>
    <row r="14" spans="2:5" ht="18" customHeight="1">
      <c r="B14" s="464" t="s">
        <v>378</v>
      </c>
      <c r="C14" s="464"/>
      <c r="D14" s="464"/>
      <c r="E14" s="464"/>
    </row>
    <row r="15" spans="2:5" ht="14.25" customHeight="1">
      <c r="B15" s="470" t="s">
        <v>379</v>
      </c>
      <c r="C15" s="474" t="s">
        <v>380</v>
      </c>
      <c r="D15" s="475" t="s">
        <v>366</v>
      </c>
      <c r="E15" s="468">
        <f>ROUND((5.7*25.17)-(E9*0.06),2)</f>
        <v>62.11</v>
      </c>
    </row>
    <row r="16" spans="2:5" ht="14.25" customHeight="1">
      <c r="B16" s="470" t="s">
        <v>381</v>
      </c>
      <c r="C16" s="474" t="s">
        <v>382</v>
      </c>
      <c r="D16" s="475" t="s">
        <v>366</v>
      </c>
      <c r="E16" s="468">
        <f>ROUND((5.7*25.17)-(E8*0.06),2)</f>
        <v>82.45</v>
      </c>
    </row>
    <row r="17" spans="2:5" ht="14.25" customHeight="1">
      <c r="B17" s="470" t="s">
        <v>383</v>
      </c>
      <c r="C17" s="474" t="s">
        <v>384</v>
      </c>
      <c r="D17" s="475" t="s">
        <v>366</v>
      </c>
      <c r="E17" s="468">
        <f>ROUND((5.7*15)-(E10*0.06),2)</f>
        <v>28.71</v>
      </c>
    </row>
    <row r="18" spans="2:5" ht="14.25" customHeight="1">
      <c r="B18" s="476" t="s">
        <v>385</v>
      </c>
      <c r="C18" s="477" t="s">
        <v>386</v>
      </c>
      <c r="D18" s="478" t="s">
        <v>387</v>
      </c>
      <c r="E18" s="479">
        <v>10</v>
      </c>
    </row>
    <row r="19" spans="2:5" ht="15" customHeight="1">
      <c r="B19" s="480"/>
      <c r="C19" s="480"/>
      <c r="D19" s="480"/>
      <c r="E19" s="480"/>
    </row>
    <row r="20" spans="2:5" ht="18" customHeight="1">
      <c r="B20" s="460" t="s">
        <v>388</v>
      </c>
      <c r="C20" s="460"/>
      <c r="D20" s="460"/>
      <c r="E20" s="460"/>
    </row>
    <row r="21" spans="2:5" ht="18" customHeight="1">
      <c r="B21" s="481" t="s">
        <v>2</v>
      </c>
      <c r="C21" s="482" t="s">
        <v>4</v>
      </c>
      <c r="D21" s="482" t="s">
        <v>5</v>
      </c>
      <c r="E21" s="463" t="s">
        <v>362</v>
      </c>
    </row>
    <row r="22" spans="2:5" ht="18" customHeight="1">
      <c r="B22" s="464" t="s">
        <v>389</v>
      </c>
      <c r="C22" s="464"/>
      <c r="D22" s="464"/>
      <c r="E22" s="464"/>
    </row>
    <row r="23" spans="2:5" ht="14.25" customHeight="1">
      <c r="B23" s="465" t="s">
        <v>390</v>
      </c>
      <c r="C23" s="471" t="s">
        <v>391</v>
      </c>
      <c r="D23" s="467" t="s">
        <v>392</v>
      </c>
      <c r="E23" s="483">
        <v>2.85</v>
      </c>
    </row>
    <row r="24" spans="2:5" ht="14.25" customHeight="1">
      <c r="B24" s="465" t="s">
        <v>393</v>
      </c>
      <c r="C24" s="471" t="s">
        <v>394</v>
      </c>
      <c r="D24" s="467" t="s">
        <v>392</v>
      </c>
      <c r="E24" s="484">
        <v>14.2</v>
      </c>
    </row>
    <row r="25" spans="2:5" ht="14.25" customHeight="1">
      <c r="B25" s="465" t="s">
        <v>395</v>
      </c>
      <c r="C25" s="471" t="s">
        <v>396</v>
      </c>
      <c r="D25" s="467" t="s">
        <v>392</v>
      </c>
      <c r="E25" s="484">
        <v>15.6</v>
      </c>
    </row>
    <row r="26" spans="2:5" ht="14.25" customHeight="1">
      <c r="B26" s="465" t="s">
        <v>397</v>
      </c>
      <c r="C26" s="471" t="s">
        <v>398</v>
      </c>
      <c r="D26" s="467" t="s">
        <v>392</v>
      </c>
      <c r="E26" s="484">
        <v>14.57</v>
      </c>
    </row>
    <row r="27" spans="2:5" ht="14.25" customHeight="1">
      <c r="B27" s="465" t="s">
        <v>399</v>
      </c>
      <c r="C27" s="471" t="s">
        <v>400</v>
      </c>
      <c r="D27" s="467" t="s">
        <v>401</v>
      </c>
      <c r="E27" s="484">
        <v>11.63</v>
      </c>
    </row>
    <row r="28" spans="2:5" ht="14.25" customHeight="1">
      <c r="B28" s="465" t="s">
        <v>402</v>
      </c>
      <c r="C28" s="471" t="s">
        <v>403</v>
      </c>
      <c r="D28" s="467" t="s">
        <v>404</v>
      </c>
      <c r="E28" s="485">
        <v>30</v>
      </c>
    </row>
    <row r="29" spans="2:5" ht="14.25" customHeight="1">
      <c r="B29" s="465" t="s">
        <v>405</v>
      </c>
      <c r="C29" s="471" t="s">
        <v>406</v>
      </c>
      <c r="D29" s="467" t="s">
        <v>407</v>
      </c>
      <c r="E29" s="484">
        <v>220.17</v>
      </c>
    </row>
    <row r="30" spans="2:5" ht="14.25" customHeight="1">
      <c r="B30" s="465" t="s">
        <v>408</v>
      </c>
      <c r="C30" s="471" t="s">
        <v>354</v>
      </c>
      <c r="D30" s="467" t="s">
        <v>404</v>
      </c>
      <c r="E30" s="484">
        <v>81.33</v>
      </c>
    </row>
    <row r="31" spans="2:8" ht="18" customHeight="1">
      <c r="B31" s="464" t="s">
        <v>409</v>
      </c>
      <c r="C31" s="464"/>
      <c r="D31" s="464"/>
      <c r="E31" s="464"/>
      <c r="G31" s="486"/>
      <c r="H31" s="487"/>
    </row>
    <row r="32" spans="2:5" ht="15">
      <c r="B32" s="488" t="s">
        <v>410</v>
      </c>
      <c r="C32" s="489" t="s">
        <v>411</v>
      </c>
      <c r="D32" s="490" t="s">
        <v>412</v>
      </c>
      <c r="E32" s="491">
        <v>25014</v>
      </c>
    </row>
    <row r="33" spans="2:8" ht="14.25" customHeight="1">
      <c r="B33" s="492"/>
      <c r="C33" s="492"/>
      <c r="D33" s="493"/>
      <c r="E33" s="494"/>
      <c r="G33" s="495"/>
      <c r="H33" s="487"/>
    </row>
    <row r="34" spans="2:5" ht="18" customHeight="1">
      <c r="B34" s="460" t="s">
        <v>413</v>
      </c>
      <c r="C34" s="460"/>
      <c r="D34" s="460"/>
      <c r="E34" s="460"/>
    </row>
    <row r="35" spans="2:5" ht="18" customHeight="1">
      <c r="B35" s="481" t="s">
        <v>2</v>
      </c>
      <c r="C35" s="482" t="s">
        <v>4</v>
      </c>
      <c r="D35" s="482" t="s">
        <v>5</v>
      </c>
      <c r="E35" s="496" t="s">
        <v>414</v>
      </c>
    </row>
    <row r="36" spans="2:5" ht="18" customHeight="1">
      <c r="B36" s="464" t="s">
        <v>415</v>
      </c>
      <c r="C36" s="464"/>
      <c r="D36" s="464"/>
      <c r="E36" s="464"/>
    </row>
    <row r="37" spans="2:5" ht="14.25" customHeight="1">
      <c r="B37" s="488" t="s">
        <v>416</v>
      </c>
      <c r="C37" s="489" t="s">
        <v>417</v>
      </c>
      <c r="D37" s="490" t="s">
        <v>281</v>
      </c>
      <c r="E37" s="497">
        <f>'demonstrativo BDI'!C24</f>
        <v>22.499000000000002</v>
      </c>
    </row>
  </sheetData>
  <sheetProtection selectLockedCells="1" selectUnlockedCells="1"/>
  <mergeCells count="11">
    <mergeCell ref="B4:E4"/>
    <mergeCell ref="B6:E6"/>
    <mergeCell ref="B12:E12"/>
    <mergeCell ref="B14:E14"/>
    <mergeCell ref="B19:E19"/>
    <mergeCell ref="B20:E20"/>
    <mergeCell ref="B22:E22"/>
    <mergeCell ref="B31:E31"/>
    <mergeCell ref="B34:E34"/>
    <mergeCell ref="B36:E36"/>
    <mergeCell ref="B1:E3"/>
  </mergeCells>
  <printOptions horizontalCentered="1"/>
  <pageMargins left="0.9798611111111111" right="0.5902777777777778" top="0.3902777777777778" bottom="0.5902777777777778" header="0.5118055555555555" footer="0.5118055555555555"/>
  <pageSetup horizontalDpi="300" verticalDpi="300" orientation="portrait" paperSize="9" scale="61"/>
</worksheet>
</file>

<file path=xl/worksheets/sheet7.xml><?xml version="1.0" encoding="utf-8"?>
<worksheet xmlns="http://schemas.openxmlformats.org/spreadsheetml/2006/main" xmlns:r="http://schemas.openxmlformats.org/officeDocument/2006/relationships">
  <dimension ref="A1:D25"/>
  <sheetViews>
    <sheetView showGridLines="0" view="pageBreakPreview" zoomScale="90" zoomScaleSheetLayoutView="90" workbookViewId="0" topLeftCell="A4">
      <selection activeCell="F22" sqref="F22"/>
    </sheetView>
  </sheetViews>
  <sheetFormatPr defaultColWidth="11.421875" defaultRowHeight="15"/>
  <cols>
    <col min="1" max="1" width="2.7109375" style="443" bestFit="1" customWidth="1"/>
    <col min="2" max="2" width="55.7109375" style="443" bestFit="1" customWidth="1"/>
    <col min="3" max="3" width="20.7109375" style="443" bestFit="1" customWidth="1"/>
    <col min="4" max="4" width="2.7109375" style="443" bestFit="1" customWidth="1"/>
    <col min="5" max="16384" width="10.7109375" style="443" bestFit="1" customWidth="1"/>
  </cols>
  <sheetData>
    <row r="1" spans="1:4" ht="15" customHeight="1">
      <c r="A1" s="444" t="s">
        <v>418</v>
      </c>
      <c r="B1" s="444"/>
      <c r="C1" s="444"/>
      <c r="D1" s="444"/>
    </row>
    <row r="2" spans="1:4" ht="15" customHeight="1">
      <c r="A2" s="444"/>
      <c r="B2" s="444"/>
      <c r="C2" s="444"/>
      <c r="D2" s="444"/>
    </row>
    <row r="3" spans="1:4" s="439" customFormat="1" ht="18.75" customHeight="1">
      <c r="A3" s="444"/>
      <c r="B3" s="444"/>
      <c r="C3" s="444"/>
      <c r="D3" s="444"/>
    </row>
    <row r="4" spans="2:3" s="439" customFormat="1" ht="9.75" customHeight="1">
      <c r="B4" s="445"/>
      <c r="C4" s="445"/>
    </row>
    <row r="5" spans="2:3" s="440" customFormat="1" ht="30" customHeight="1">
      <c r="B5" s="446" t="s">
        <v>4</v>
      </c>
      <c r="C5" s="447" t="s">
        <v>419</v>
      </c>
    </row>
    <row r="6" spans="2:3" s="440" customFormat="1" ht="30" customHeight="1">
      <c r="B6" s="446"/>
      <c r="C6" s="448" t="s">
        <v>420</v>
      </c>
    </row>
    <row r="7" spans="2:3" s="441" customFormat="1" ht="18" customHeight="1">
      <c r="B7" s="449" t="s">
        <v>421</v>
      </c>
      <c r="C7" s="449"/>
    </row>
    <row r="8" spans="2:3" s="441" customFormat="1" ht="18" customHeight="1">
      <c r="B8" s="450" t="s">
        <v>422</v>
      </c>
      <c r="C8" s="451">
        <v>2.5</v>
      </c>
    </row>
    <row r="9" spans="2:3" s="441" customFormat="1" ht="18" customHeight="1">
      <c r="B9" s="450" t="s">
        <v>423</v>
      </c>
      <c r="C9" s="452">
        <v>8.8</v>
      </c>
    </row>
    <row r="10" spans="2:3" s="442" customFormat="1" ht="18" customHeight="1">
      <c r="B10" s="453" t="s">
        <v>424</v>
      </c>
      <c r="C10" s="454">
        <f>SUM(C8:C9)</f>
        <v>11.3</v>
      </c>
    </row>
    <row r="11" spans="2:3" s="442" customFormat="1" ht="18" customHeight="1">
      <c r="B11" s="449" t="s">
        <v>425</v>
      </c>
      <c r="C11" s="449"/>
    </row>
    <row r="12" spans="2:3" s="442" customFormat="1" ht="18" customHeight="1">
      <c r="B12" s="450" t="s">
        <v>426</v>
      </c>
      <c r="C12" s="452">
        <v>0.5</v>
      </c>
    </row>
    <row r="13" spans="2:3" s="442" customFormat="1" ht="18" customHeight="1">
      <c r="B13" s="453" t="s">
        <v>427</v>
      </c>
      <c r="C13" s="454">
        <f>SUM(C12)</f>
        <v>0.5</v>
      </c>
    </row>
    <row r="14" spans="2:3" s="442" customFormat="1" ht="18" customHeight="1">
      <c r="B14" s="449" t="s">
        <v>428</v>
      </c>
      <c r="C14" s="449"/>
    </row>
    <row r="15" spans="2:3" s="442" customFormat="1" ht="18" customHeight="1">
      <c r="B15" s="450" t="s">
        <v>429</v>
      </c>
      <c r="C15" s="452">
        <v>0.24</v>
      </c>
    </row>
    <row r="16" spans="2:3" s="442" customFormat="1" ht="18" customHeight="1">
      <c r="B16" s="450" t="s">
        <v>430</v>
      </c>
      <c r="C16" s="452">
        <v>0.21</v>
      </c>
    </row>
    <row r="17" spans="2:3" s="442" customFormat="1" ht="18" customHeight="1">
      <c r="B17" s="450" t="s">
        <v>431</v>
      </c>
      <c r="C17" s="452">
        <v>0.78</v>
      </c>
    </row>
    <row r="18" spans="2:3" s="442" customFormat="1" ht="18" customHeight="1">
      <c r="B18" s="453" t="s">
        <v>432</v>
      </c>
      <c r="C18" s="454">
        <f>SUM(C15:C17)</f>
        <v>1.23</v>
      </c>
    </row>
    <row r="19" spans="2:3" s="442" customFormat="1" ht="18" customHeight="1">
      <c r="B19" s="449" t="s">
        <v>433</v>
      </c>
      <c r="C19" s="449"/>
    </row>
    <row r="20" spans="2:3" s="442" customFormat="1" ht="18" customHeight="1">
      <c r="B20" s="450" t="s">
        <v>434</v>
      </c>
      <c r="C20" s="455">
        <v>9.469</v>
      </c>
    </row>
    <row r="21" spans="2:3" s="442" customFormat="1" ht="18" customHeight="1">
      <c r="B21" s="450" t="s">
        <v>435</v>
      </c>
      <c r="C21" s="455"/>
    </row>
    <row r="22" spans="2:3" s="441" customFormat="1" ht="18" customHeight="1">
      <c r="B22" s="450" t="s">
        <v>436</v>
      </c>
      <c r="C22" s="455"/>
    </row>
    <row r="23" spans="2:3" s="441" customFormat="1" ht="18" customHeight="1">
      <c r="B23" s="453" t="s">
        <v>437</v>
      </c>
      <c r="C23" s="455"/>
    </row>
    <row r="24" spans="2:3" s="441" customFormat="1" ht="18" customHeight="1">
      <c r="B24" s="456" t="s">
        <v>238</v>
      </c>
      <c r="C24" s="457">
        <f>C10+C13+C18+C20</f>
        <v>22.499000000000002</v>
      </c>
    </row>
    <row r="25" spans="2:3" ht="18.75" customHeight="1">
      <c r="B25" s="458"/>
      <c r="C25" s="458"/>
    </row>
  </sheetData>
  <sheetProtection selectLockedCells="1" selectUnlockedCells="1"/>
  <mergeCells count="9">
    <mergeCell ref="B4:C4"/>
    <mergeCell ref="B7:C7"/>
    <mergeCell ref="B11:C11"/>
    <mergeCell ref="B14:C14"/>
    <mergeCell ref="B19:C19"/>
    <mergeCell ref="B25:C25"/>
    <mergeCell ref="B5:B6"/>
    <mergeCell ref="C20:C23"/>
    <mergeCell ref="A1:D3"/>
  </mergeCells>
  <printOptions/>
  <pageMargins left="0.9798611111111111" right="0.5902777777777778" top="0.3902777777777778" bottom="0.5902777777777778" header="0.5118055555555555" footer="0.5118055555555555"/>
  <pageSetup horizontalDpi="300" verticalDpi="300" orientation="portrait" paperSize="9" scale="83"/>
</worksheet>
</file>

<file path=xl/worksheets/sheet8.xml><?xml version="1.0" encoding="utf-8"?>
<worksheet xmlns="http://schemas.openxmlformats.org/spreadsheetml/2006/main" xmlns:r="http://schemas.openxmlformats.org/officeDocument/2006/relationships">
  <dimension ref="A1:IV44"/>
  <sheetViews>
    <sheetView view="pageBreakPreview" zoomScaleSheetLayoutView="100" workbookViewId="0" topLeftCell="A26">
      <selection activeCell="C34" sqref="C34"/>
    </sheetView>
  </sheetViews>
  <sheetFormatPr defaultColWidth="9.140625" defaultRowHeight="22.5" customHeight="1"/>
  <cols>
    <col min="1" max="1" width="11.57421875" style="400" bestFit="1" customWidth="1"/>
    <col min="2" max="2" width="19.8515625" style="400" bestFit="1" customWidth="1"/>
    <col min="3" max="3" width="74.28125" style="398" bestFit="1" customWidth="1"/>
    <col min="4" max="4" width="7.8515625" style="400" bestFit="1" customWidth="1"/>
    <col min="5" max="5" width="19.57421875" style="401" bestFit="1" customWidth="1"/>
    <col min="6" max="6" width="17.00390625" style="402" bestFit="1" customWidth="1"/>
    <col min="7" max="7" width="21.7109375" style="398" bestFit="1" customWidth="1"/>
    <col min="8" max="8" width="63.140625" style="398" bestFit="1" customWidth="1"/>
    <col min="9" max="9" width="7.7109375" style="398" bestFit="1" customWidth="1"/>
    <col min="10" max="10" width="12.421875" style="398" bestFit="1" customWidth="1"/>
    <col min="11" max="11" width="9.140625" style="398" bestFit="1" customWidth="1"/>
    <col min="12" max="12" width="6.7109375" style="398" bestFit="1" customWidth="1"/>
    <col min="13" max="13" width="7.7109375" style="400" bestFit="1" customWidth="1"/>
    <col min="14" max="14" width="63.140625" style="398" bestFit="1" customWidth="1"/>
    <col min="15" max="15" width="7.421875" style="400" bestFit="1" customWidth="1"/>
    <col min="16" max="16" width="12.421875" style="403" bestFit="1" customWidth="1"/>
    <col min="17" max="17" width="1.421875" style="398" bestFit="1" customWidth="1"/>
    <col min="18" max="18" width="7.7109375" style="398" bestFit="1" customWidth="1"/>
    <col min="19" max="19" width="63.140625" style="398" bestFit="1" customWidth="1"/>
    <col min="20" max="20" width="7.7109375" style="398" bestFit="1" customWidth="1"/>
    <col min="21" max="21" width="12.421875" style="398" bestFit="1" customWidth="1"/>
    <col min="22" max="22" width="9.140625" style="398" bestFit="1" customWidth="1"/>
    <col min="23" max="23" width="6.7109375" style="398" bestFit="1" customWidth="1"/>
    <col min="24" max="24" width="7.7109375" style="400" bestFit="1" customWidth="1"/>
    <col min="25" max="25" width="63.140625" style="398" bestFit="1" customWidth="1"/>
    <col min="26" max="26" width="7.421875" style="400" bestFit="1" customWidth="1"/>
    <col min="27" max="27" width="12.421875" style="403" bestFit="1" customWidth="1"/>
    <col min="28" max="28" width="1.421875" style="398" bestFit="1" customWidth="1"/>
    <col min="29" max="29" width="7.7109375" style="398" bestFit="1" customWidth="1"/>
    <col min="30" max="30" width="63.140625" style="398" bestFit="1" customWidth="1"/>
    <col min="31" max="31" width="7.7109375" style="398" bestFit="1" customWidth="1"/>
    <col min="32" max="32" width="12.421875" style="398" bestFit="1" customWidth="1"/>
    <col min="33" max="33" width="9.140625" style="398" bestFit="1" customWidth="1"/>
    <col min="34" max="34" width="6.7109375" style="398" bestFit="1" customWidth="1"/>
    <col min="35" max="35" width="7.7109375" style="400" bestFit="1" customWidth="1"/>
    <col min="36" max="36" width="63.140625" style="398" bestFit="1" customWidth="1"/>
    <col min="37" max="37" width="7.421875" style="400" bestFit="1" customWidth="1"/>
    <col min="38" max="38" width="12.421875" style="403" bestFit="1" customWidth="1"/>
    <col min="39" max="39" width="1.421875" style="398" bestFit="1" customWidth="1"/>
    <col min="40" max="40" width="7.7109375" style="398" bestFit="1" customWidth="1"/>
    <col min="41" max="41" width="63.140625" style="398" bestFit="1" customWidth="1"/>
    <col min="42" max="42" width="7.7109375" style="398" bestFit="1" customWidth="1"/>
    <col min="43" max="43" width="12.421875" style="398" bestFit="1" customWidth="1"/>
    <col min="44" max="44" width="9.140625" style="398" bestFit="1" customWidth="1"/>
    <col min="45" max="45" width="6.7109375" style="398" bestFit="1" customWidth="1"/>
    <col min="46" max="46" width="7.7109375" style="400" bestFit="1" customWidth="1"/>
    <col min="47" max="47" width="63.140625" style="398" bestFit="1" customWidth="1"/>
    <col min="48" max="48" width="7.421875" style="400" bestFit="1" customWidth="1"/>
    <col min="49" max="49" width="12.421875" style="403" bestFit="1" customWidth="1"/>
    <col min="50" max="50" width="1.421875" style="398" bestFit="1" customWidth="1"/>
    <col min="51" max="51" width="7.7109375" style="398" bestFit="1" customWidth="1"/>
    <col min="52" max="52" width="63.140625" style="398" bestFit="1" customWidth="1"/>
    <col min="53" max="53" width="7.7109375" style="398" bestFit="1" customWidth="1"/>
    <col min="54" max="54" width="12.421875" style="398" bestFit="1" customWidth="1"/>
    <col min="55" max="55" width="9.140625" style="398" bestFit="1" customWidth="1"/>
    <col min="56" max="56" width="6.7109375" style="398" bestFit="1" customWidth="1"/>
    <col min="57" max="57" width="7.7109375" style="400" bestFit="1" customWidth="1"/>
    <col min="58" max="58" width="63.140625" style="398" bestFit="1" customWidth="1"/>
    <col min="59" max="59" width="7.421875" style="400" bestFit="1" customWidth="1"/>
    <col min="60" max="60" width="12.421875" style="403" bestFit="1" customWidth="1"/>
    <col min="61" max="61" width="1.421875" style="398" bestFit="1" customWidth="1"/>
    <col min="62" max="62" width="7.7109375" style="398" bestFit="1" customWidth="1"/>
    <col min="63" max="63" width="63.140625" style="398" bestFit="1" customWidth="1"/>
    <col min="64" max="64" width="7.7109375" style="398" bestFit="1" customWidth="1"/>
    <col min="65" max="65" width="12.421875" style="398" bestFit="1" customWidth="1"/>
    <col min="66" max="66" width="9.140625" style="398" bestFit="1" customWidth="1"/>
    <col min="67" max="67" width="6.7109375" style="398" bestFit="1" customWidth="1"/>
    <col min="68" max="68" width="7.7109375" style="400" bestFit="1" customWidth="1"/>
    <col min="69" max="69" width="63.140625" style="398" bestFit="1" customWidth="1"/>
    <col min="70" max="70" width="7.421875" style="400" bestFit="1" customWidth="1"/>
    <col min="71" max="71" width="12.421875" style="403" bestFit="1" customWidth="1"/>
    <col min="72" max="72" width="1.421875" style="398" bestFit="1" customWidth="1"/>
    <col min="73" max="73" width="7.7109375" style="398" bestFit="1" customWidth="1"/>
    <col min="74" max="74" width="63.140625" style="398" bestFit="1" customWidth="1"/>
    <col min="75" max="75" width="7.7109375" style="398" bestFit="1" customWidth="1"/>
    <col min="76" max="76" width="12.421875" style="398" bestFit="1" customWidth="1"/>
    <col min="77" max="77" width="9.140625" style="398" bestFit="1" customWidth="1"/>
    <col min="78" max="78" width="6.7109375" style="398" bestFit="1" customWidth="1"/>
    <col min="79" max="79" width="7.7109375" style="400" bestFit="1" customWidth="1"/>
    <col min="80" max="80" width="63.140625" style="398" bestFit="1" customWidth="1"/>
    <col min="81" max="81" width="7.421875" style="400" bestFit="1" customWidth="1"/>
    <col min="82" max="82" width="12.421875" style="403" bestFit="1" customWidth="1"/>
    <col min="83" max="83" width="1.421875" style="398" bestFit="1" customWidth="1"/>
    <col min="84" max="84" width="7.7109375" style="398" bestFit="1" customWidth="1"/>
    <col min="85" max="85" width="63.140625" style="398" bestFit="1" customWidth="1"/>
    <col min="86" max="86" width="7.7109375" style="398" bestFit="1" customWidth="1"/>
    <col min="87" max="87" width="12.421875" style="398" bestFit="1" customWidth="1"/>
    <col min="88" max="88" width="9.140625" style="398" bestFit="1" customWidth="1"/>
    <col min="89" max="89" width="6.7109375" style="398" bestFit="1" customWidth="1"/>
    <col min="90" max="90" width="7.7109375" style="400" bestFit="1" customWidth="1"/>
    <col min="91" max="91" width="63.140625" style="398" bestFit="1" customWidth="1"/>
    <col min="92" max="92" width="7.421875" style="400" bestFit="1" customWidth="1"/>
    <col min="93" max="93" width="12.421875" style="403" bestFit="1" customWidth="1"/>
    <col min="94" max="94" width="1.421875" style="398" bestFit="1" customWidth="1"/>
    <col min="95" max="95" width="7.7109375" style="398" bestFit="1" customWidth="1"/>
    <col min="96" max="96" width="63.140625" style="398" bestFit="1" customWidth="1"/>
    <col min="97" max="97" width="7.7109375" style="398" bestFit="1" customWidth="1"/>
    <col min="98" max="98" width="12.421875" style="398" bestFit="1" customWidth="1"/>
    <col min="99" max="99" width="9.140625" style="398" bestFit="1" customWidth="1"/>
    <col min="100" max="100" width="6.7109375" style="398" bestFit="1" customWidth="1"/>
    <col min="101" max="101" width="7.7109375" style="400" bestFit="1" customWidth="1"/>
    <col min="102" max="102" width="63.140625" style="398" bestFit="1" customWidth="1"/>
    <col min="103" max="103" width="7.421875" style="400" bestFit="1" customWidth="1"/>
    <col min="104" max="104" width="12.421875" style="403" bestFit="1" customWidth="1"/>
    <col min="105" max="105" width="1.421875" style="398" bestFit="1" customWidth="1"/>
    <col min="106" max="106" width="7.7109375" style="398" bestFit="1" customWidth="1"/>
    <col min="107" max="107" width="63.140625" style="398" bestFit="1" customWidth="1"/>
    <col min="108" max="108" width="7.7109375" style="398" bestFit="1" customWidth="1"/>
    <col min="109" max="109" width="12.421875" style="398" bestFit="1" customWidth="1"/>
    <col min="110" max="110" width="9.140625" style="398" bestFit="1" customWidth="1"/>
    <col min="111" max="111" width="6.7109375" style="398" bestFit="1" customWidth="1"/>
    <col min="112" max="112" width="7.7109375" style="400" bestFit="1" customWidth="1"/>
    <col min="113" max="113" width="63.140625" style="398" bestFit="1" customWidth="1"/>
    <col min="114" max="114" width="7.421875" style="400" bestFit="1" customWidth="1"/>
    <col min="115" max="115" width="12.421875" style="403" bestFit="1" customWidth="1"/>
    <col min="116" max="116" width="1.421875" style="398" bestFit="1" customWidth="1"/>
    <col min="117" max="117" width="7.7109375" style="398" bestFit="1" customWidth="1"/>
    <col min="118" max="118" width="63.140625" style="398" bestFit="1" customWidth="1"/>
    <col min="119" max="119" width="7.7109375" style="398" bestFit="1" customWidth="1"/>
    <col min="120" max="120" width="12.421875" style="398" bestFit="1" customWidth="1"/>
    <col min="121" max="121" width="9.140625" style="398" bestFit="1" customWidth="1"/>
    <col min="122" max="122" width="6.7109375" style="398" bestFit="1" customWidth="1"/>
    <col min="123" max="123" width="7.7109375" style="400" bestFit="1" customWidth="1"/>
    <col min="124" max="124" width="63.140625" style="398" bestFit="1" customWidth="1"/>
    <col min="125" max="125" width="7.421875" style="400" bestFit="1" customWidth="1"/>
    <col min="126" max="126" width="12.421875" style="403" bestFit="1" customWidth="1"/>
    <col min="127" max="127" width="1.421875" style="398" bestFit="1" customWidth="1"/>
    <col min="128" max="128" width="7.7109375" style="398" bestFit="1" customWidth="1"/>
    <col min="129" max="129" width="63.140625" style="398" bestFit="1" customWidth="1"/>
    <col min="130" max="130" width="7.7109375" style="398" bestFit="1" customWidth="1"/>
    <col min="131" max="131" width="12.421875" style="398" bestFit="1" customWidth="1"/>
    <col min="132" max="132" width="9.140625" style="398" bestFit="1" customWidth="1"/>
    <col min="133" max="133" width="6.7109375" style="398" bestFit="1" customWidth="1"/>
    <col min="134" max="134" width="7.7109375" style="400" bestFit="1" customWidth="1"/>
    <col min="135" max="135" width="63.140625" style="398" bestFit="1" customWidth="1"/>
    <col min="136" max="136" width="7.421875" style="400" bestFit="1" customWidth="1"/>
    <col min="137" max="137" width="12.421875" style="403" bestFit="1" customWidth="1"/>
    <col min="138" max="138" width="1.421875" style="398" bestFit="1" customWidth="1"/>
    <col min="139" max="139" width="7.7109375" style="398" bestFit="1" customWidth="1"/>
    <col min="140" max="140" width="63.140625" style="398" bestFit="1" customWidth="1"/>
    <col min="141" max="141" width="7.7109375" style="398" bestFit="1" customWidth="1"/>
    <col min="142" max="142" width="12.421875" style="398" bestFit="1" customWidth="1"/>
    <col min="143" max="143" width="9.140625" style="398" bestFit="1" customWidth="1"/>
    <col min="144" max="144" width="6.7109375" style="398" bestFit="1" customWidth="1"/>
    <col min="145" max="145" width="7.7109375" style="400" bestFit="1" customWidth="1"/>
    <col min="146" max="146" width="63.140625" style="398" bestFit="1" customWidth="1"/>
    <col min="147" max="147" width="7.421875" style="400" bestFit="1" customWidth="1"/>
    <col min="148" max="148" width="12.421875" style="403" bestFit="1" customWidth="1"/>
    <col min="149" max="149" width="1.421875" style="398" bestFit="1" customWidth="1"/>
    <col min="150" max="150" width="7.7109375" style="398" bestFit="1" customWidth="1"/>
    <col min="151" max="151" width="63.140625" style="398" bestFit="1" customWidth="1"/>
    <col min="152" max="152" width="7.7109375" style="398" bestFit="1" customWidth="1"/>
    <col min="153" max="153" width="12.421875" style="398" bestFit="1" customWidth="1"/>
    <col min="154" max="154" width="9.140625" style="398" bestFit="1" customWidth="1"/>
    <col min="155" max="155" width="6.7109375" style="398" bestFit="1" customWidth="1"/>
    <col min="156" max="156" width="7.7109375" style="400" bestFit="1" customWidth="1"/>
    <col min="157" max="157" width="63.140625" style="398" bestFit="1" customWidth="1"/>
    <col min="158" max="158" width="7.421875" style="400" bestFit="1" customWidth="1"/>
    <col min="159" max="159" width="12.421875" style="403" bestFit="1" customWidth="1"/>
    <col min="160" max="160" width="1.421875" style="398" bestFit="1" customWidth="1"/>
    <col min="161" max="161" width="7.7109375" style="398" bestFit="1" customWidth="1"/>
    <col min="162" max="162" width="63.140625" style="398" bestFit="1" customWidth="1"/>
    <col min="163" max="163" width="7.7109375" style="398" bestFit="1" customWidth="1"/>
    <col min="164" max="164" width="12.421875" style="398" bestFit="1" customWidth="1"/>
    <col min="165" max="16384" width="9.140625" style="398" bestFit="1" customWidth="1"/>
  </cols>
  <sheetData>
    <row r="1" spans="1:159" s="397" customFormat="1" ht="87.75" customHeight="1">
      <c r="A1" s="404" t="str">
        <f>'COMP 001'!A2</f>
        <v>PREFEITURA MUNICIPAL DE CAMARAGIBE</v>
      </c>
      <c r="B1" s="404"/>
      <c r="C1" s="404"/>
      <c r="D1" s="404"/>
      <c r="E1" s="404"/>
      <c r="F1" s="404"/>
      <c r="M1" s="426"/>
      <c r="O1" s="426"/>
      <c r="P1" s="436"/>
      <c r="X1" s="426"/>
      <c r="Z1" s="426"/>
      <c r="AA1" s="436"/>
      <c r="AI1" s="426"/>
      <c r="AK1" s="426"/>
      <c r="AL1" s="436"/>
      <c r="AT1" s="426"/>
      <c r="AV1" s="426"/>
      <c r="AW1" s="436"/>
      <c r="BE1" s="426"/>
      <c r="BG1" s="426"/>
      <c r="BH1" s="436"/>
      <c r="BP1" s="426"/>
      <c r="BR1" s="426"/>
      <c r="BS1" s="436"/>
      <c r="CA1" s="426"/>
      <c r="CC1" s="426"/>
      <c r="CD1" s="436"/>
      <c r="CL1" s="426"/>
      <c r="CN1" s="426"/>
      <c r="CO1" s="436"/>
      <c r="CW1" s="426"/>
      <c r="CY1" s="426"/>
      <c r="CZ1" s="436"/>
      <c r="DH1" s="426"/>
      <c r="DJ1" s="426"/>
      <c r="DK1" s="436"/>
      <c r="DS1" s="426"/>
      <c r="DU1" s="426"/>
      <c r="DV1" s="436"/>
      <c r="ED1" s="426"/>
      <c r="EF1" s="426"/>
      <c r="EG1" s="436"/>
      <c r="EO1" s="426"/>
      <c r="EQ1" s="426"/>
      <c r="ER1" s="436"/>
      <c r="EZ1" s="426"/>
      <c r="FB1" s="426"/>
      <c r="FC1" s="436"/>
    </row>
    <row r="2" spans="1:159" s="397" customFormat="1" ht="31.5" customHeight="1">
      <c r="A2" s="405" t="str">
        <f>'COMP 001'!A3</f>
        <v>SECRETARIA DE INFRAESTRUTURA E SERVIÇOS PÚBLICOS</v>
      </c>
      <c r="B2" s="405"/>
      <c r="C2" s="405"/>
      <c r="D2" s="405"/>
      <c r="E2" s="405"/>
      <c r="F2" s="405"/>
      <c r="M2" s="426"/>
      <c r="O2" s="426"/>
      <c r="P2" s="436"/>
      <c r="X2" s="426"/>
      <c r="Z2" s="426"/>
      <c r="AA2" s="436"/>
      <c r="AI2" s="426"/>
      <c r="AK2" s="426"/>
      <c r="AL2" s="436"/>
      <c r="AT2" s="426"/>
      <c r="AV2" s="426"/>
      <c r="AW2" s="436"/>
      <c r="BE2" s="426"/>
      <c r="BG2" s="426"/>
      <c r="BH2" s="436"/>
      <c r="BP2" s="426"/>
      <c r="BR2" s="426"/>
      <c r="BS2" s="436"/>
      <c r="CA2" s="426"/>
      <c r="CC2" s="426"/>
      <c r="CD2" s="436"/>
      <c r="CL2" s="426"/>
      <c r="CN2" s="426"/>
      <c r="CO2" s="436"/>
      <c r="CW2" s="426"/>
      <c r="CY2" s="426"/>
      <c r="CZ2" s="436"/>
      <c r="DH2" s="426"/>
      <c r="DJ2" s="426"/>
      <c r="DK2" s="436"/>
      <c r="DS2" s="426"/>
      <c r="DU2" s="426"/>
      <c r="DV2" s="436"/>
      <c r="ED2" s="426"/>
      <c r="EF2" s="426"/>
      <c r="EG2" s="436"/>
      <c r="EO2" s="426"/>
      <c r="EQ2" s="426"/>
      <c r="ER2" s="436"/>
      <c r="EZ2" s="426"/>
      <c r="FB2" s="426"/>
      <c r="FC2" s="436"/>
    </row>
    <row r="3" spans="1:159" s="397" customFormat="1" ht="48" customHeight="1">
      <c r="A3" s="406" t="str">
        <f>'COMP 001'!A4</f>
        <v>OBJETO:</v>
      </c>
      <c r="B3" s="407" t="s">
        <v>438</v>
      </c>
      <c r="C3" s="407"/>
      <c r="D3" s="407"/>
      <c r="E3" s="407"/>
      <c r="F3" s="407"/>
      <c r="M3" s="426"/>
      <c r="O3" s="426"/>
      <c r="P3" s="436"/>
      <c r="X3" s="426"/>
      <c r="Z3" s="426"/>
      <c r="AA3" s="436"/>
      <c r="AI3" s="426"/>
      <c r="AK3" s="426"/>
      <c r="AL3" s="436"/>
      <c r="AT3" s="426"/>
      <c r="AV3" s="426"/>
      <c r="AW3" s="436"/>
      <c r="BE3" s="426"/>
      <c r="BG3" s="426"/>
      <c r="BH3" s="436"/>
      <c r="BP3" s="426"/>
      <c r="BR3" s="426"/>
      <c r="BS3" s="436"/>
      <c r="CA3" s="426"/>
      <c r="CC3" s="426"/>
      <c r="CD3" s="436"/>
      <c r="CL3" s="426"/>
      <c r="CN3" s="426"/>
      <c r="CO3" s="436"/>
      <c r="CW3" s="426"/>
      <c r="CY3" s="426"/>
      <c r="CZ3" s="436"/>
      <c r="DH3" s="426"/>
      <c r="DJ3" s="426"/>
      <c r="DK3" s="436"/>
      <c r="DS3" s="426"/>
      <c r="DU3" s="426"/>
      <c r="DV3" s="436"/>
      <c r="ED3" s="426"/>
      <c r="EF3" s="426"/>
      <c r="EG3" s="436"/>
      <c r="EO3" s="426"/>
      <c r="EQ3" s="426"/>
      <c r="ER3" s="436"/>
      <c r="EZ3" s="426"/>
      <c r="FB3" s="426"/>
      <c r="FC3" s="436"/>
    </row>
    <row r="4" spans="1:159" s="397" customFormat="1" ht="27.75" customHeight="1">
      <c r="A4" s="408" t="str">
        <f>'COMP 001'!A5</f>
        <v>LOCAL:</v>
      </c>
      <c r="B4" s="409" t="str">
        <f>'COMP 001'!C5</f>
        <v>TODO MUNICÍPIO DE CAMARAGIBE/PE.</v>
      </c>
      <c r="C4" s="409"/>
      <c r="D4" s="409"/>
      <c r="E4" s="409"/>
      <c r="F4" s="409"/>
      <c r="M4" s="426"/>
      <c r="O4" s="426"/>
      <c r="P4" s="436"/>
      <c r="X4" s="426"/>
      <c r="Z4" s="426"/>
      <c r="AA4" s="436"/>
      <c r="AI4" s="426"/>
      <c r="AK4" s="426"/>
      <c r="AL4" s="436"/>
      <c r="AT4" s="426"/>
      <c r="AV4" s="426"/>
      <c r="AW4" s="436"/>
      <c r="BE4" s="426"/>
      <c r="BG4" s="426"/>
      <c r="BH4" s="436"/>
      <c r="BP4" s="426"/>
      <c r="BR4" s="426"/>
      <c r="BS4" s="436"/>
      <c r="CA4" s="426"/>
      <c r="CC4" s="426"/>
      <c r="CD4" s="436"/>
      <c r="CL4" s="426"/>
      <c r="CN4" s="426"/>
      <c r="CO4" s="436"/>
      <c r="CW4" s="426"/>
      <c r="CY4" s="426"/>
      <c r="CZ4" s="436"/>
      <c r="DH4" s="426"/>
      <c r="DJ4" s="426"/>
      <c r="DK4" s="436"/>
      <c r="DS4" s="426"/>
      <c r="DU4" s="426"/>
      <c r="DV4" s="436"/>
      <c r="ED4" s="426"/>
      <c r="EF4" s="426"/>
      <c r="EG4" s="436"/>
      <c r="EO4" s="426"/>
      <c r="EQ4" s="426"/>
      <c r="ER4" s="436"/>
      <c r="EZ4" s="426"/>
      <c r="FB4" s="426"/>
      <c r="FC4" s="436"/>
    </row>
    <row r="5" spans="1:256" s="398" customFormat="1" ht="30" customHeight="1">
      <c r="A5" s="410" t="s">
        <v>439</v>
      </c>
      <c r="B5" s="410"/>
      <c r="C5" s="410"/>
      <c r="D5" s="410"/>
      <c r="E5" s="410"/>
      <c r="F5" s="410"/>
      <c r="G5" s="411"/>
      <c r="H5" s="411"/>
      <c r="I5" s="397"/>
      <c r="J5" s="397"/>
      <c r="IT5" s="397"/>
      <c r="IU5" s="397"/>
      <c r="IV5" s="397"/>
    </row>
    <row r="6" spans="1:11" s="398" customFormat="1" ht="15" customHeight="1">
      <c r="A6" s="178" t="s">
        <v>2</v>
      </c>
      <c r="B6" s="178"/>
      <c r="C6" s="178" t="s">
        <v>4</v>
      </c>
      <c r="D6" s="178"/>
      <c r="E6" s="412" t="s">
        <v>440</v>
      </c>
      <c r="F6" s="412"/>
      <c r="G6" s="397"/>
      <c r="H6" s="397"/>
      <c r="I6" s="397"/>
      <c r="J6" s="397"/>
      <c r="K6" s="397"/>
    </row>
    <row r="7" spans="1:11" s="398" customFormat="1" ht="15" customHeight="1">
      <c r="A7" s="178"/>
      <c r="B7" s="178"/>
      <c r="C7" s="178"/>
      <c r="D7" s="178"/>
      <c r="E7" s="412"/>
      <c r="F7" s="412"/>
      <c r="G7" s="397"/>
      <c r="H7" s="397"/>
      <c r="I7" s="397"/>
      <c r="J7" s="397"/>
      <c r="K7" s="397"/>
    </row>
    <row r="8" spans="1:11" s="398" customFormat="1" ht="22.5" customHeight="1">
      <c r="A8" s="40"/>
      <c r="B8" s="40"/>
      <c r="C8" s="40"/>
      <c r="D8" s="40"/>
      <c r="E8" s="413"/>
      <c r="F8" s="413"/>
      <c r="G8" s="397"/>
      <c r="H8" s="397"/>
      <c r="I8" s="397"/>
      <c r="J8" s="397"/>
      <c r="K8" s="397"/>
    </row>
    <row r="9" spans="1:159" s="399" customFormat="1" ht="22.5" customHeight="1">
      <c r="A9" s="414" t="s">
        <v>441</v>
      </c>
      <c r="B9" s="414"/>
      <c r="C9" s="415" t="str">
        <f>'ORÇAMENTO BÁSICO'!C12</f>
        <v>ADMINISTRAÇÃO LOCAL (MÊS)</v>
      </c>
      <c r="D9" s="415"/>
      <c r="E9" s="416"/>
      <c r="F9" s="416"/>
      <c r="G9" s="417"/>
      <c r="H9" s="417"/>
      <c r="I9" s="417"/>
      <c r="J9" s="417"/>
      <c r="K9" s="417"/>
      <c r="M9" s="437"/>
      <c r="O9" s="437"/>
      <c r="P9" s="438"/>
      <c r="X9" s="437"/>
      <c r="Z9" s="437"/>
      <c r="AA9" s="438"/>
      <c r="AI9" s="437"/>
      <c r="AK9" s="437"/>
      <c r="AL9" s="438"/>
      <c r="AT9" s="437"/>
      <c r="AV9" s="437"/>
      <c r="AW9" s="438"/>
      <c r="BE9" s="437"/>
      <c r="BG9" s="437"/>
      <c r="BH9" s="438"/>
      <c r="BP9" s="437"/>
      <c r="BR9" s="437"/>
      <c r="BS9" s="438"/>
      <c r="CA9" s="437"/>
      <c r="CC9" s="437"/>
      <c r="CD9" s="438"/>
      <c r="CL9" s="437"/>
      <c r="CN9" s="437"/>
      <c r="CO9" s="438"/>
      <c r="CW9" s="437"/>
      <c r="CY9" s="437"/>
      <c r="CZ9" s="438"/>
      <c r="DH9" s="437"/>
      <c r="DJ9" s="437"/>
      <c r="DK9" s="438"/>
      <c r="DS9" s="437"/>
      <c r="DU9" s="437"/>
      <c r="DV9" s="438"/>
      <c r="ED9" s="437"/>
      <c r="EF9" s="437"/>
      <c r="EG9" s="438"/>
      <c r="EO9" s="437"/>
      <c r="EQ9" s="437"/>
      <c r="ER9" s="438"/>
      <c r="EZ9" s="437"/>
      <c r="FB9" s="437"/>
      <c r="FC9" s="438"/>
    </row>
    <row r="10" spans="1:11" s="398" customFormat="1" ht="22.5" customHeight="1">
      <c r="A10" s="173"/>
      <c r="B10" s="173"/>
      <c r="C10" s="418" t="str">
        <f>'ORÇAMENTO BÁSICO'!A13</f>
        <v>Subtotal   1.0 </v>
      </c>
      <c r="D10" s="418"/>
      <c r="E10" s="419">
        <f>'ORÇAMENTO BÁSICO'!H13</f>
        <v>283594.32</v>
      </c>
      <c r="F10" s="419"/>
      <c r="G10" s="397"/>
      <c r="H10" s="397"/>
      <c r="I10" s="397"/>
      <c r="J10" s="397"/>
      <c r="K10" s="397"/>
    </row>
    <row r="11" spans="1:11" s="398" customFormat="1" ht="22.5" customHeight="1">
      <c r="A11" s="173"/>
      <c r="B11" s="173"/>
      <c r="C11" s="173"/>
      <c r="D11" s="173"/>
      <c r="E11" s="173"/>
      <c r="F11" s="173"/>
      <c r="G11" s="397"/>
      <c r="H11" s="397"/>
      <c r="I11" s="397"/>
      <c r="J11" s="397"/>
      <c r="K11" s="397"/>
    </row>
    <row r="12" spans="1:159" s="399" customFormat="1" ht="22.5" customHeight="1">
      <c r="A12" s="420" t="s">
        <v>442</v>
      </c>
      <c r="B12" s="420"/>
      <c r="C12" s="421" t="str">
        <f>'ORÇAMENTO BÁSICO'!B14</f>
        <v>INSTALAÇÕES PROVISÓRIAS</v>
      </c>
      <c r="D12" s="421"/>
      <c r="E12" s="422"/>
      <c r="F12" s="422"/>
      <c r="G12" s="417"/>
      <c r="H12" s="417"/>
      <c r="I12" s="417"/>
      <c r="J12" s="417"/>
      <c r="K12" s="417"/>
      <c r="M12" s="437"/>
      <c r="O12" s="437"/>
      <c r="P12" s="438"/>
      <c r="X12" s="437"/>
      <c r="Z12" s="437"/>
      <c r="AA12" s="438"/>
      <c r="AI12" s="437"/>
      <c r="AK12" s="437"/>
      <c r="AL12" s="438"/>
      <c r="AT12" s="437"/>
      <c r="AV12" s="437"/>
      <c r="AW12" s="438"/>
      <c r="BE12" s="437"/>
      <c r="BG12" s="437"/>
      <c r="BH12" s="438"/>
      <c r="BP12" s="437"/>
      <c r="BR12" s="437"/>
      <c r="BS12" s="438"/>
      <c r="CA12" s="437"/>
      <c r="CC12" s="437"/>
      <c r="CD12" s="438"/>
      <c r="CL12" s="437"/>
      <c r="CN12" s="437"/>
      <c r="CO12" s="438"/>
      <c r="CW12" s="437"/>
      <c r="CY12" s="437"/>
      <c r="CZ12" s="438"/>
      <c r="DH12" s="437"/>
      <c r="DJ12" s="437"/>
      <c r="DK12" s="438"/>
      <c r="DS12" s="437"/>
      <c r="DU12" s="437"/>
      <c r="DV12" s="438"/>
      <c r="ED12" s="437"/>
      <c r="EF12" s="437"/>
      <c r="EG12" s="438"/>
      <c r="EO12" s="437"/>
      <c r="EQ12" s="437"/>
      <c r="ER12" s="438"/>
      <c r="EZ12" s="437"/>
      <c r="FB12" s="437"/>
      <c r="FC12" s="438"/>
    </row>
    <row r="13" spans="1:11" s="398" customFormat="1" ht="22.5" customHeight="1">
      <c r="A13" s="173"/>
      <c r="B13" s="173"/>
      <c r="C13" s="418" t="str">
        <f>'ORÇAMENTO BÁSICO'!A20</f>
        <v>Subtotal   2.0 </v>
      </c>
      <c r="D13" s="418"/>
      <c r="E13" s="419">
        <f>'ORÇAMENTO BÁSICO'!H20</f>
        <v>44420.24</v>
      </c>
      <c r="F13" s="419"/>
      <c r="G13" s="397"/>
      <c r="H13" s="397"/>
      <c r="I13" s="397"/>
      <c r="J13" s="397"/>
      <c r="K13" s="397"/>
    </row>
    <row r="14" spans="1:11" s="398" customFormat="1" ht="22.5" customHeight="1">
      <c r="A14" s="173"/>
      <c r="B14" s="173"/>
      <c r="C14" s="173"/>
      <c r="D14" s="173"/>
      <c r="E14" s="173"/>
      <c r="F14" s="173"/>
      <c r="G14" s="397"/>
      <c r="H14" s="397"/>
      <c r="I14" s="397"/>
      <c r="J14" s="397"/>
      <c r="K14" s="397"/>
    </row>
    <row r="15" spans="1:159" s="399" customFormat="1" ht="22.5" customHeight="1">
      <c r="A15" s="420" t="s">
        <v>443</v>
      </c>
      <c r="B15" s="420"/>
      <c r="C15" s="421" t="str">
        <f>'ORÇAMENTO BÁSICO'!B21</f>
        <v>SERVIÇOS PRELIMINARES</v>
      </c>
      <c r="D15" s="421"/>
      <c r="E15" s="422"/>
      <c r="F15" s="422"/>
      <c r="G15" s="417"/>
      <c r="H15" s="417"/>
      <c r="I15" s="417"/>
      <c r="J15" s="417"/>
      <c r="K15" s="417"/>
      <c r="M15" s="437"/>
      <c r="O15" s="437"/>
      <c r="P15" s="438"/>
      <c r="X15" s="437"/>
      <c r="Z15" s="437"/>
      <c r="AA15" s="438"/>
      <c r="AI15" s="437"/>
      <c r="AK15" s="437"/>
      <c r="AL15" s="438"/>
      <c r="AT15" s="437"/>
      <c r="AV15" s="437"/>
      <c r="AW15" s="438"/>
      <c r="BE15" s="437"/>
      <c r="BG15" s="437"/>
      <c r="BH15" s="438"/>
      <c r="BP15" s="437"/>
      <c r="BR15" s="437"/>
      <c r="BS15" s="438"/>
      <c r="CA15" s="437"/>
      <c r="CC15" s="437"/>
      <c r="CD15" s="438"/>
      <c r="CL15" s="437"/>
      <c r="CN15" s="437"/>
      <c r="CO15" s="438"/>
      <c r="CW15" s="437"/>
      <c r="CY15" s="437"/>
      <c r="CZ15" s="438"/>
      <c r="DH15" s="437"/>
      <c r="DJ15" s="437"/>
      <c r="DK15" s="438"/>
      <c r="DS15" s="437"/>
      <c r="DU15" s="437"/>
      <c r="DV15" s="438"/>
      <c r="ED15" s="437"/>
      <c r="EF15" s="437"/>
      <c r="EG15" s="438"/>
      <c r="EO15" s="437"/>
      <c r="EQ15" s="437"/>
      <c r="ER15" s="438"/>
      <c r="EZ15" s="437"/>
      <c r="FB15" s="437"/>
      <c r="FC15" s="438"/>
    </row>
    <row r="16" spans="1:11" s="398" customFormat="1" ht="22.5" customHeight="1">
      <c r="A16" s="173"/>
      <c r="B16" s="173"/>
      <c r="C16" s="418" t="str">
        <f>'ORÇAMENTO BÁSICO'!A29</f>
        <v>Subtotal   3.0 </v>
      </c>
      <c r="D16" s="418"/>
      <c r="E16" s="423">
        <f>'ORÇAMENTO BÁSICO'!H29</f>
        <v>344704.63</v>
      </c>
      <c r="F16" s="423"/>
      <c r="G16" s="397"/>
      <c r="H16" s="397"/>
      <c r="I16" s="397"/>
      <c r="J16" s="397"/>
      <c r="K16" s="397"/>
    </row>
    <row r="17" spans="1:11" s="398" customFormat="1" ht="22.5" customHeight="1">
      <c r="A17" s="173"/>
      <c r="B17" s="173"/>
      <c r="C17" s="173"/>
      <c r="D17" s="173"/>
      <c r="E17" s="173"/>
      <c r="F17" s="173"/>
      <c r="G17" s="397"/>
      <c r="H17" s="397"/>
      <c r="I17" s="397"/>
      <c r="J17" s="397"/>
      <c r="K17" s="397"/>
    </row>
    <row r="18" spans="1:159" s="399" customFormat="1" ht="22.5" customHeight="1">
      <c r="A18" s="420" t="s">
        <v>444</v>
      </c>
      <c r="B18" s="420"/>
      <c r="C18" s="421" t="str">
        <f>'ORÇAMENTO BÁSICO'!B30</f>
        <v>TRABALHOS EM TERRA</v>
      </c>
      <c r="D18" s="421"/>
      <c r="E18" s="422"/>
      <c r="F18" s="422"/>
      <c r="G18" s="417"/>
      <c r="H18" s="417"/>
      <c r="I18" s="417"/>
      <c r="J18" s="417"/>
      <c r="K18" s="417"/>
      <c r="M18" s="437"/>
      <c r="O18" s="437"/>
      <c r="P18" s="438"/>
      <c r="X18" s="437"/>
      <c r="Z18" s="437"/>
      <c r="AA18" s="438"/>
      <c r="AI18" s="437"/>
      <c r="AK18" s="437"/>
      <c r="AL18" s="438"/>
      <c r="AT18" s="437"/>
      <c r="AV18" s="437"/>
      <c r="AW18" s="438"/>
      <c r="BE18" s="437"/>
      <c r="BG18" s="437"/>
      <c r="BH18" s="438"/>
      <c r="BP18" s="437"/>
      <c r="BR18" s="437"/>
      <c r="BS18" s="438"/>
      <c r="CA18" s="437"/>
      <c r="CC18" s="437"/>
      <c r="CD18" s="438"/>
      <c r="CL18" s="437"/>
      <c r="CN18" s="437"/>
      <c r="CO18" s="438"/>
      <c r="CW18" s="437"/>
      <c r="CY18" s="437"/>
      <c r="CZ18" s="438"/>
      <c r="DH18" s="437"/>
      <c r="DJ18" s="437"/>
      <c r="DK18" s="438"/>
      <c r="DS18" s="437"/>
      <c r="DU18" s="437"/>
      <c r="DV18" s="438"/>
      <c r="ED18" s="437"/>
      <c r="EF18" s="437"/>
      <c r="EG18" s="438"/>
      <c r="EO18" s="437"/>
      <c r="EQ18" s="437"/>
      <c r="ER18" s="438"/>
      <c r="EZ18" s="437"/>
      <c r="FB18" s="437"/>
      <c r="FC18" s="438"/>
    </row>
    <row r="19" spans="1:11" s="398" customFormat="1" ht="22.5" customHeight="1">
      <c r="A19" s="173"/>
      <c r="B19" s="173"/>
      <c r="C19" s="418" t="str">
        <f>'ORÇAMENTO BÁSICO'!A41</f>
        <v>Subtotal 4.0 </v>
      </c>
      <c r="D19" s="418"/>
      <c r="E19" s="419">
        <f>'ORÇAMENTO BÁSICO'!H41</f>
        <v>1136099.8800000001</v>
      </c>
      <c r="F19" s="419"/>
      <c r="G19" s="397"/>
      <c r="H19" s="397"/>
      <c r="I19" s="397"/>
      <c r="J19" s="397"/>
      <c r="K19" s="397"/>
    </row>
    <row r="20" spans="1:11" s="398" customFormat="1" ht="22.5" customHeight="1">
      <c r="A20" s="173"/>
      <c r="B20" s="173"/>
      <c r="C20" s="173"/>
      <c r="D20" s="173"/>
      <c r="E20" s="173"/>
      <c r="F20" s="173"/>
      <c r="G20" s="397"/>
      <c r="H20" s="397"/>
      <c r="I20" s="397"/>
      <c r="J20" s="397"/>
      <c r="K20" s="397"/>
    </row>
    <row r="21" spans="1:159" s="399" customFormat="1" ht="22.5" customHeight="1">
      <c r="A21" s="420" t="s">
        <v>445</v>
      </c>
      <c r="B21" s="420"/>
      <c r="C21" s="421" t="str">
        <f>'ORÇAMENTO BÁSICO'!B42</f>
        <v>REVESTIMENTO DO PAVIMENTO</v>
      </c>
      <c r="D21" s="421"/>
      <c r="E21" s="422"/>
      <c r="F21" s="422"/>
      <c r="G21" s="417"/>
      <c r="H21" s="417"/>
      <c r="I21" s="417"/>
      <c r="J21" s="417"/>
      <c r="K21" s="417"/>
      <c r="M21" s="437"/>
      <c r="O21" s="437"/>
      <c r="P21" s="438"/>
      <c r="X21" s="437"/>
      <c r="Z21" s="437"/>
      <c r="AA21" s="438"/>
      <c r="AI21" s="437"/>
      <c r="AK21" s="437"/>
      <c r="AL21" s="438"/>
      <c r="AT21" s="437"/>
      <c r="AV21" s="437"/>
      <c r="AW21" s="438"/>
      <c r="BE21" s="437"/>
      <c r="BG21" s="437"/>
      <c r="BH21" s="438"/>
      <c r="BP21" s="437"/>
      <c r="BR21" s="437"/>
      <c r="BS21" s="438"/>
      <c r="CA21" s="437"/>
      <c r="CC21" s="437"/>
      <c r="CD21" s="438"/>
      <c r="CL21" s="437"/>
      <c r="CN21" s="437"/>
      <c r="CO21" s="438"/>
      <c r="CW21" s="437"/>
      <c r="CY21" s="437"/>
      <c r="CZ21" s="438"/>
      <c r="DH21" s="437"/>
      <c r="DJ21" s="437"/>
      <c r="DK21" s="438"/>
      <c r="DS21" s="437"/>
      <c r="DU21" s="437"/>
      <c r="DV21" s="438"/>
      <c r="ED21" s="437"/>
      <c r="EF21" s="437"/>
      <c r="EG21" s="438"/>
      <c r="EO21" s="437"/>
      <c r="EQ21" s="437"/>
      <c r="ER21" s="438"/>
      <c r="EZ21" s="437"/>
      <c r="FB21" s="437"/>
      <c r="FC21" s="438"/>
    </row>
    <row r="22" spans="1:11" s="398" customFormat="1" ht="22.5" customHeight="1">
      <c r="A22" s="173"/>
      <c r="B22" s="173"/>
      <c r="C22" s="418" t="str">
        <f>'ORÇAMENTO BÁSICO'!A66</f>
        <v>Subtotal 5.0</v>
      </c>
      <c r="D22" s="418"/>
      <c r="E22" s="419">
        <f>'ORÇAMENTO BÁSICO'!H66</f>
        <v>1661261.4500000002</v>
      </c>
      <c r="F22" s="419"/>
      <c r="G22" s="397"/>
      <c r="H22" s="397"/>
      <c r="I22" s="397"/>
      <c r="J22" s="397"/>
      <c r="K22" s="397"/>
    </row>
    <row r="23" spans="1:11" s="398" customFormat="1" ht="22.5" customHeight="1">
      <c r="A23" s="173"/>
      <c r="B23" s="173"/>
      <c r="C23" s="173"/>
      <c r="D23" s="173"/>
      <c r="E23" s="173"/>
      <c r="F23" s="173"/>
      <c r="G23" s="397"/>
      <c r="H23" s="397"/>
      <c r="I23" s="397"/>
      <c r="J23" s="397"/>
      <c r="K23" s="397"/>
    </row>
    <row r="24" spans="1:159" s="399" customFormat="1" ht="22.5" customHeight="1">
      <c r="A24" s="420" t="s">
        <v>446</v>
      </c>
      <c r="B24" s="420"/>
      <c r="C24" s="421" t="str">
        <f>'ORÇAMENTO BÁSICO'!B67</f>
        <v>DRENAGEM</v>
      </c>
      <c r="D24" s="421"/>
      <c r="E24" s="422"/>
      <c r="F24" s="422"/>
      <c r="G24" s="417"/>
      <c r="H24" s="417"/>
      <c r="I24" s="417"/>
      <c r="J24" s="417"/>
      <c r="K24" s="417"/>
      <c r="M24" s="437"/>
      <c r="O24" s="437"/>
      <c r="P24" s="438"/>
      <c r="X24" s="437"/>
      <c r="Z24" s="437"/>
      <c r="AA24" s="438"/>
      <c r="AI24" s="437"/>
      <c r="AK24" s="437"/>
      <c r="AL24" s="438"/>
      <c r="AT24" s="437"/>
      <c r="AV24" s="437"/>
      <c r="AW24" s="438"/>
      <c r="BE24" s="437"/>
      <c r="BG24" s="437"/>
      <c r="BH24" s="438"/>
      <c r="BP24" s="437"/>
      <c r="BR24" s="437"/>
      <c r="BS24" s="438"/>
      <c r="CA24" s="437"/>
      <c r="CC24" s="437"/>
      <c r="CD24" s="438"/>
      <c r="CL24" s="437"/>
      <c r="CN24" s="437"/>
      <c r="CO24" s="438"/>
      <c r="CW24" s="437"/>
      <c r="CY24" s="437"/>
      <c r="CZ24" s="438"/>
      <c r="DH24" s="437"/>
      <c r="DJ24" s="437"/>
      <c r="DK24" s="438"/>
      <c r="DS24" s="437"/>
      <c r="DU24" s="437"/>
      <c r="DV24" s="438"/>
      <c r="ED24" s="437"/>
      <c r="EF24" s="437"/>
      <c r="EG24" s="438"/>
      <c r="EO24" s="437"/>
      <c r="EQ24" s="437"/>
      <c r="ER24" s="438"/>
      <c r="EZ24" s="437"/>
      <c r="FB24" s="437"/>
      <c r="FC24" s="438"/>
    </row>
    <row r="25" spans="1:11" s="398" customFormat="1" ht="22.5" customHeight="1">
      <c r="A25" s="173"/>
      <c r="B25" s="173"/>
      <c r="C25" s="418" t="str">
        <f>'ORÇAMENTO BÁSICO'!A80</f>
        <v>Subtotal 6.0 </v>
      </c>
      <c r="D25" s="418"/>
      <c r="E25" s="419">
        <f>'ORÇAMENTO BÁSICO'!H80</f>
        <v>143294.69999999998</v>
      </c>
      <c r="F25" s="419"/>
      <c r="G25" s="397"/>
      <c r="H25" s="397"/>
      <c r="I25" s="397"/>
      <c r="J25" s="397"/>
      <c r="K25" s="397"/>
    </row>
    <row r="26" spans="1:11" s="398" customFormat="1" ht="22.5" customHeight="1">
      <c r="A26" s="173"/>
      <c r="B26" s="173"/>
      <c r="C26" s="173"/>
      <c r="D26" s="173"/>
      <c r="E26" s="173"/>
      <c r="F26" s="173"/>
      <c r="G26" s="397"/>
      <c r="H26" s="397"/>
      <c r="I26" s="397"/>
      <c r="J26" s="397"/>
      <c r="K26" s="397"/>
    </row>
    <row r="27" spans="1:159" s="399" customFormat="1" ht="22.5" customHeight="1">
      <c r="A27" s="420" t="s">
        <v>447</v>
      </c>
      <c r="B27" s="420"/>
      <c r="C27" s="421" t="str">
        <f>'ORÇAMENTO BÁSICO'!B81</f>
        <v>LOCAÇÃO DE EQUIPAMENTO</v>
      </c>
      <c r="D27" s="421"/>
      <c r="E27" s="422"/>
      <c r="F27" s="422"/>
      <c r="G27" s="417"/>
      <c r="H27" s="417"/>
      <c r="I27" s="417"/>
      <c r="J27" s="417"/>
      <c r="K27" s="417"/>
      <c r="M27" s="437"/>
      <c r="O27" s="437"/>
      <c r="P27" s="438"/>
      <c r="X27" s="437"/>
      <c r="Z27" s="437"/>
      <c r="AA27" s="438"/>
      <c r="AI27" s="437"/>
      <c r="AK27" s="437"/>
      <c r="AL27" s="438"/>
      <c r="AT27" s="437"/>
      <c r="AV27" s="437"/>
      <c r="AW27" s="438"/>
      <c r="BE27" s="437"/>
      <c r="BG27" s="437"/>
      <c r="BH27" s="438"/>
      <c r="BP27" s="437"/>
      <c r="BR27" s="437"/>
      <c r="BS27" s="438"/>
      <c r="CA27" s="437"/>
      <c r="CC27" s="437"/>
      <c r="CD27" s="438"/>
      <c r="CL27" s="437"/>
      <c r="CN27" s="437"/>
      <c r="CO27" s="438"/>
      <c r="CW27" s="437"/>
      <c r="CY27" s="437"/>
      <c r="CZ27" s="438"/>
      <c r="DH27" s="437"/>
      <c r="DJ27" s="437"/>
      <c r="DK27" s="438"/>
      <c r="DS27" s="437"/>
      <c r="DU27" s="437"/>
      <c r="DV27" s="438"/>
      <c r="ED27" s="437"/>
      <c r="EF27" s="437"/>
      <c r="EG27" s="438"/>
      <c r="EO27" s="437"/>
      <c r="EQ27" s="437"/>
      <c r="ER27" s="438"/>
      <c r="EZ27" s="437"/>
      <c r="FB27" s="437"/>
      <c r="FC27" s="438"/>
    </row>
    <row r="28" spans="1:11" s="398" customFormat="1" ht="22.5" customHeight="1">
      <c r="A28" s="173"/>
      <c r="B28" s="173"/>
      <c r="C28" s="418" t="str">
        <f>'ORÇAMENTO BÁSICO'!A84</f>
        <v>Subtotal 7.0 </v>
      </c>
      <c r="D28" s="418"/>
      <c r="E28" s="419">
        <f>'ORÇAMENTO BÁSICO'!H84</f>
        <v>138588</v>
      </c>
      <c r="F28" s="419"/>
      <c r="G28" s="397"/>
      <c r="H28" s="397"/>
      <c r="I28" s="397"/>
      <c r="J28" s="397"/>
      <c r="K28" s="397"/>
    </row>
    <row r="29" spans="1:11" s="398" customFormat="1" ht="22.5" customHeight="1">
      <c r="A29" s="173"/>
      <c r="B29" s="173"/>
      <c r="C29" s="173"/>
      <c r="D29" s="173"/>
      <c r="E29" s="173"/>
      <c r="F29" s="173"/>
      <c r="G29" s="397"/>
      <c r="H29" s="397"/>
      <c r="I29" s="397"/>
      <c r="J29" s="397"/>
      <c r="K29" s="397"/>
    </row>
    <row r="30" spans="1:11" s="398" customFormat="1" ht="22.5" customHeight="1">
      <c r="A30" s="424" t="s">
        <v>264</v>
      </c>
      <c r="B30" s="424"/>
      <c r="C30" s="424"/>
      <c r="D30" s="424"/>
      <c r="E30" s="425">
        <f>E10+E13+E16+E19+E22+E25+E28</f>
        <v>3751963.2200000007</v>
      </c>
      <c r="F30" s="425"/>
      <c r="G30" s="426"/>
      <c r="H30" s="397"/>
      <c r="I30" s="426"/>
      <c r="J30" s="436"/>
      <c r="K30" s="397"/>
    </row>
    <row r="31" spans="1:11" s="398" customFormat="1" ht="39" customHeight="1">
      <c r="A31" s="427" t="str">
        <f>'ORÇAMENTO BÁSICO'!C86</f>
        <v>TRÊS MILHÕES, SETECENTOS E CINQUENTA E UM MIL, NOVECENTOS E SESSENTA E TRÊS REAIS E VINTE E DOIS CENTAVOS.</v>
      </c>
      <c r="B31" s="427"/>
      <c r="C31" s="427"/>
      <c r="D31" s="427"/>
      <c r="E31" s="427"/>
      <c r="F31" s="427"/>
      <c r="G31" s="428"/>
      <c r="H31" s="397"/>
      <c r="I31" s="397"/>
      <c r="J31" s="397"/>
      <c r="K31" s="397"/>
    </row>
    <row r="32" spans="1:6" ht="30" customHeight="1">
      <c r="A32" s="429" t="s">
        <v>448</v>
      </c>
      <c r="B32" s="429"/>
      <c r="C32" s="429"/>
      <c r="D32" s="429"/>
      <c r="E32" s="429"/>
      <c r="F32" s="429"/>
    </row>
    <row r="33" spans="1:6" ht="22.5" customHeight="1">
      <c r="A33" s="430"/>
      <c r="B33" s="430"/>
      <c r="C33" s="431"/>
      <c r="D33" s="432"/>
      <c r="E33" s="433"/>
      <c r="F33" s="434"/>
    </row>
    <row r="34" spans="1:5" ht="22.5" customHeight="1">
      <c r="A34" s="398"/>
      <c r="B34" s="398"/>
      <c r="D34" s="398"/>
      <c r="E34" s="435"/>
    </row>
    <row r="35" spans="1:256" ht="22.5" customHeight="1">
      <c r="A35" s="398"/>
      <c r="B35" s="398"/>
      <c r="D35" s="398"/>
      <c r="E35" s="435"/>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c r="GD35" s="400"/>
      <c r="GE35" s="400"/>
      <c r="GF35" s="400"/>
      <c r="GG35" s="400"/>
      <c r="GH35" s="400"/>
      <c r="GI35" s="400"/>
      <c r="GJ35" s="400"/>
      <c r="GK35" s="400"/>
      <c r="GL35" s="400"/>
      <c r="GM35" s="400"/>
      <c r="GN35" s="400"/>
      <c r="GO35" s="400"/>
      <c r="GP35" s="400"/>
      <c r="GQ35" s="400"/>
      <c r="GR35" s="400"/>
      <c r="GS35" s="400"/>
      <c r="GT35" s="400"/>
      <c r="GU35" s="400"/>
      <c r="GV35" s="400"/>
      <c r="GW35" s="400"/>
      <c r="GX35" s="400"/>
      <c r="GY35" s="400"/>
      <c r="GZ35" s="400"/>
      <c r="HA35" s="400"/>
      <c r="HB35" s="400"/>
      <c r="HC35" s="400"/>
      <c r="HD35" s="400"/>
      <c r="HE35" s="400"/>
      <c r="HF35" s="400"/>
      <c r="HG35" s="400"/>
      <c r="HH35" s="400"/>
      <c r="HI35" s="400"/>
      <c r="HJ35" s="400"/>
      <c r="HK35" s="400"/>
      <c r="HL35" s="400"/>
      <c r="HM35" s="400"/>
      <c r="HN35" s="400"/>
      <c r="HO35" s="400"/>
      <c r="HP35" s="400"/>
      <c r="HQ35" s="400"/>
      <c r="HR35" s="400"/>
      <c r="HS35" s="400"/>
      <c r="HT35" s="400"/>
      <c r="HU35" s="400"/>
      <c r="HV35" s="400"/>
      <c r="HW35" s="400"/>
      <c r="HX35" s="400"/>
      <c r="HY35" s="400"/>
      <c r="HZ35" s="400"/>
      <c r="IA35" s="400"/>
      <c r="IB35" s="400"/>
      <c r="IC35" s="400"/>
      <c r="ID35" s="400"/>
      <c r="IE35" s="400"/>
      <c r="IF35" s="400"/>
      <c r="IG35" s="400"/>
      <c r="IH35" s="400"/>
      <c r="II35" s="400"/>
      <c r="IJ35" s="400"/>
      <c r="IK35" s="400"/>
      <c r="IL35" s="400"/>
      <c r="IM35" s="400"/>
      <c r="IN35" s="400"/>
      <c r="IO35" s="400"/>
      <c r="IP35" s="400"/>
      <c r="IQ35" s="400"/>
      <c r="IR35" s="400"/>
      <c r="IS35" s="400"/>
      <c r="IT35" s="400"/>
      <c r="IU35" s="400"/>
      <c r="IV35" s="400"/>
    </row>
    <row r="36" spans="1:256" ht="22.5" customHeight="1">
      <c r="A36" s="398"/>
      <c r="B36" s="398"/>
      <c r="D36" s="398"/>
      <c r="E36" s="435"/>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c r="GD36" s="400"/>
      <c r="GE36" s="400"/>
      <c r="GF36" s="400"/>
      <c r="GG36" s="400"/>
      <c r="GH36" s="400"/>
      <c r="GI36" s="400"/>
      <c r="GJ36" s="400"/>
      <c r="GK36" s="400"/>
      <c r="GL36" s="400"/>
      <c r="GM36" s="400"/>
      <c r="GN36" s="400"/>
      <c r="GO36" s="400"/>
      <c r="GP36" s="400"/>
      <c r="GQ36" s="400"/>
      <c r="GR36" s="400"/>
      <c r="GS36" s="400"/>
      <c r="GT36" s="400"/>
      <c r="GU36" s="400"/>
      <c r="GV36" s="400"/>
      <c r="GW36" s="400"/>
      <c r="GX36" s="400"/>
      <c r="GY36" s="400"/>
      <c r="GZ36" s="400"/>
      <c r="HA36" s="400"/>
      <c r="HB36" s="400"/>
      <c r="HC36" s="400"/>
      <c r="HD36" s="400"/>
      <c r="HE36" s="400"/>
      <c r="HF36" s="400"/>
      <c r="HG36" s="400"/>
      <c r="HH36" s="400"/>
      <c r="HI36" s="400"/>
      <c r="HJ36" s="400"/>
      <c r="HK36" s="400"/>
      <c r="HL36" s="400"/>
      <c r="HM36" s="400"/>
      <c r="HN36" s="400"/>
      <c r="HO36" s="400"/>
      <c r="HP36" s="400"/>
      <c r="HQ36" s="400"/>
      <c r="HR36" s="400"/>
      <c r="HS36" s="400"/>
      <c r="HT36" s="400"/>
      <c r="HU36" s="400"/>
      <c r="HV36" s="400"/>
      <c r="HW36" s="400"/>
      <c r="HX36" s="400"/>
      <c r="HY36" s="400"/>
      <c r="HZ36" s="400"/>
      <c r="IA36" s="400"/>
      <c r="IB36" s="400"/>
      <c r="IC36" s="400"/>
      <c r="ID36" s="400"/>
      <c r="IE36" s="400"/>
      <c r="IF36" s="400"/>
      <c r="IG36" s="400"/>
      <c r="IH36" s="400"/>
      <c r="II36" s="400"/>
      <c r="IJ36" s="400"/>
      <c r="IK36" s="400"/>
      <c r="IL36" s="400"/>
      <c r="IM36" s="400"/>
      <c r="IN36" s="400"/>
      <c r="IO36" s="400"/>
      <c r="IP36" s="400"/>
      <c r="IQ36" s="400"/>
      <c r="IR36" s="400"/>
      <c r="IS36" s="400"/>
      <c r="IT36" s="400"/>
      <c r="IU36" s="400"/>
      <c r="IV36" s="400"/>
    </row>
    <row r="37" spans="1:256" ht="22.5" customHeight="1">
      <c r="A37" s="398"/>
      <c r="B37" s="398"/>
      <c r="D37" s="398"/>
      <c r="E37" s="435"/>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c r="GD37" s="400"/>
      <c r="GE37" s="400"/>
      <c r="GF37" s="400"/>
      <c r="GG37" s="400"/>
      <c r="GH37" s="400"/>
      <c r="GI37" s="400"/>
      <c r="GJ37" s="400"/>
      <c r="GK37" s="400"/>
      <c r="GL37" s="400"/>
      <c r="GM37" s="400"/>
      <c r="GN37" s="400"/>
      <c r="GO37" s="400"/>
      <c r="GP37" s="400"/>
      <c r="GQ37" s="400"/>
      <c r="GR37" s="400"/>
      <c r="GS37" s="400"/>
      <c r="GT37" s="400"/>
      <c r="GU37" s="400"/>
      <c r="GV37" s="400"/>
      <c r="GW37" s="400"/>
      <c r="GX37" s="400"/>
      <c r="GY37" s="400"/>
      <c r="GZ37" s="400"/>
      <c r="HA37" s="400"/>
      <c r="HB37" s="400"/>
      <c r="HC37" s="400"/>
      <c r="HD37" s="400"/>
      <c r="HE37" s="400"/>
      <c r="HF37" s="400"/>
      <c r="HG37" s="400"/>
      <c r="HH37" s="400"/>
      <c r="HI37" s="400"/>
      <c r="HJ37" s="400"/>
      <c r="HK37" s="400"/>
      <c r="HL37" s="400"/>
      <c r="HM37" s="400"/>
      <c r="HN37" s="400"/>
      <c r="HO37" s="400"/>
      <c r="HP37" s="400"/>
      <c r="HQ37" s="400"/>
      <c r="HR37" s="400"/>
      <c r="HS37" s="400"/>
      <c r="HT37" s="400"/>
      <c r="HU37" s="400"/>
      <c r="HV37" s="400"/>
      <c r="HW37" s="400"/>
      <c r="HX37" s="400"/>
      <c r="HY37" s="400"/>
      <c r="HZ37" s="400"/>
      <c r="IA37" s="400"/>
      <c r="IB37" s="400"/>
      <c r="IC37" s="400"/>
      <c r="ID37" s="400"/>
      <c r="IE37" s="400"/>
      <c r="IF37" s="400"/>
      <c r="IG37" s="400"/>
      <c r="IH37" s="400"/>
      <c r="II37" s="400"/>
      <c r="IJ37" s="400"/>
      <c r="IK37" s="400"/>
      <c r="IL37" s="400"/>
      <c r="IM37" s="400"/>
      <c r="IN37" s="400"/>
      <c r="IO37" s="400"/>
      <c r="IP37" s="400"/>
      <c r="IQ37" s="400"/>
      <c r="IR37" s="400"/>
      <c r="IS37" s="400"/>
      <c r="IT37" s="400"/>
      <c r="IU37" s="400"/>
      <c r="IV37" s="400"/>
    </row>
    <row r="38" spans="1:256" ht="22.5" customHeight="1">
      <c r="A38" s="398"/>
      <c r="B38" s="398"/>
      <c r="D38" s="398"/>
      <c r="E38" s="435"/>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c r="GD38" s="400"/>
      <c r="GE38" s="400"/>
      <c r="GF38" s="400"/>
      <c r="GG38" s="400"/>
      <c r="GH38" s="400"/>
      <c r="GI38" s="400"/>
      <c r="GJ38" s="400"/>
      <c r="GK38" s="400"/>
      <c r="GL38" s="400"/>
      <c r="GM38" s="400"/>
      <c r="GN38" s="400"/>
      <c r="GO38" s="400"/>
      <c r="GP38" s="400"/>
      <c r="GQ38" s="400"/>
      <c r="GR38" s="400"/>
      <c r="GS38" s="400"/>
      <c r="GT38" s="400"/>
      <c r="GU38" s="400"/>
      <c r="GV38" s="400"/>
      <c r="GW38" s="400"/>
      <c r="GX38" s="400"/>
      <c r="GY38" s="400"/>
      <c r="GZ38" s="400"/>
      <c r="HA38" s="400"/>
      <c r="HB38" s="400"/>
      <c r="HC38" s="400"/>
      <c r="HD38" s="400"/>
      <c r="HE38" s="400"/>
      <c r="HF38" s="400"/>
      <c r="HG38" s="400"/>
      <c r="HH38" s="400"/>
      <c r="HI38" s="400"/>
      <c r="HJ38" s="400"/>
      <c r="HK38" s="400"/>
      <c r="HL38" s="400"/>
      <c r="HM38" s="400"/>
      <c r="HN38" s="400"/>
      <c r="HO38" s="400"/>
      <c r="HP38" s="400"/>
      <c r="HQ38" s="400"/>
      <c r="HR38" s="400"/>
      <c r="HS38" s="400"/>
      <c r="HT38" s="400"/>
      <c r="HU38" s="400"/>
      <c r="HV38" s="400"/>
      <c r="HW38" s="400"/>
      <c r="HX38" s="400"/>
      <c r="HY38" s="400"/>
      <c r="HZ38" s="400"/>
      <c r="IA38" s="400"/>
      <c r="IB38" s="400"/>
      <c r="IC38" s="400"/>
      <c r="ID38" s="400"/>
      <c r="IE38" s="400"/>
      <c r="IF38" s="400"/>
      <c r="IG38" s="400"/>
      <c r="IH38" s="400"/>
      <c r="II38" s="400"/>
      <c r="IJ38" s="400"/>
      <c r="IK38" s="400"/>
      <c r="IL38" s="400"/>
      <c r="IM38" s="400"/>
      <c r="IN38" s="400"/>
      <c r="IO38" s="400"/>
      <c r="IP38" s="400"/>
      <c r="IQ38" s="400"/>
      <c r="IR38" s="400"/>
      <c r="IS38" s="400"/>
      <c r="IT38" s="400"/>
      <c r="IU38" s="400"/>
      <c r="IV38" s="400"/>
    </row>
    <row r="39" spans="1:256" ht="22.5" customHeight="1">
      <c r="A39" s="398"/>
      <c r="B39" s="398"/>
      <c r="D39" s="398"/>
      <c r="E39" s="435"/>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c r="GD39" s="400"/>
      <c r="GE39" s="400"/>
      <c r="GF39" s="400"/>
      <c r="GG39" s="400"/>
      <c r="GH39" s="400"/>
      <c r="GI39" s="400"/>
      <c r="GJ39" s="400"/>
      <c r="GK39" s="400"/>
      <c r="GL39" s="400"/>
      <c r="GM39" s="400"/>
      <c r="GN39" s="400"/>
      <c r="GO39" s="400"/>
      <c r="GP39" s="400"/>
      <c r="GQ39" s="400"/>
      <c r="GR39" s="400"/>
      <c r="GS39" s="400"/>
      <c r="GT39" s="400"/>
      <c r="GU39" s="400"/>
      <c r="GV39" s="400"/>
      <c r="GW39" s="400"/>
      <c r="GX39" s="400"/>
      <c r="GY39" s="400"/>
      <c r="GZ39" s="400"/>
      <c r="HA39" s="400"/>
      <c r="HB39" s="400"/>
      <c r="HC39" s="400"/>
      <c r="HD39" s="400"/>
      <c r="HE39" s="400"/>
      <c r="HF39" s="400"/>
      <c r="HG39" s="400"/>
      <c r="HH39" s="400"/>
      <c r="HI39" s="400"/>
      <c r="HJ39" s="400"/>
      <c r="HK39" s="400"/>
      <c r="HL39" s="400"/>
      <c r="HM39" s="400"/>
      <c r="HN39" s="400"/>
      <c r="HO39" s="400"/>
      <c r="HP39" s="400"/>
      <c r="HQ39" s="400"/>
      <c r="HR39" s="400"/>
      <c r="HS39" s="400"/>
      <c r="HT39" s="400"/>
      <c r="HU39" s="400"/>
      <c r="HV39" s="400"/>
      <c r="HW39" s="400"/>
      <c r="HX39" s="400"/>
      <c r="HY39" s="400"/>
      <c r="HZ39" s="400"/>
      <c r="IA39" s="400"/>
      <c r="IB39" s="400"/>
      <c r="IC39" s="400"/>
      <c r="ID39" s="400"/>
      <c r="IE39" s="400"/>
      <c r="IF39" s="400"/>
      <c r="IG39" s="400"/>
      <c r="IH39" s="400"/>
      <c r="II39" s="400"/>
      <c r="IJ39" s="400"/>
      <c r="IK39" s="400"/>
      <c r="IL39" s="400"/>
      <c r="IM39" s="400"/>
      <c r="IN39" s="400"/>
      <c r="IO39" s="400"/>
      <c r="IP39" s="400"/>
      <c r="IQ39" s="400"/>
      <c r="IR39" s="400"/>
      <c r="IS39" s="400"/>
      <c r="IT39" s="400"/>
      <c r="IU39" s="400"/>
      <c r="IV39" s="400"/>
    </row>
    <row r="40" spans="1:256" ht="22.5" customHeight="1">
      <c r="A40" s="398"/>
      <c r="B40" s="398"/>
      <c r="D40" s="398"/>
      <c r="E40" s="435"/>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c r="GD40" s="400"/>
      <c r="GE40" s="400"/>
      <c r="GF40" s="400"/>
      <c r="GG40" s="400"/>
      <c r="GH40" s="400"/>
      <c r="GI40" s="400"/>
      <c r="GJ40" s="400"/>
      <c r="GK40" s="400"/>
      <c r="GL40" s="400"/>
      <c r="GM40" s="400"/>
      <c r="GN40" s="400"/>
      <c r="GO40" s="400"/>
      <c r="GP40" s="400"/>
      <c r="GQ40" s="400"/>
      <c r="GR40" s="400"/>
      <c r="GS40" s="400"/>
      <c r="GT40" s="400"/>
      <c r="GU40" s="400"/>
      <c r="GV40" s="400"/>
      <c r="GW40" s="400"/>
      <c r="GX40" s="400"/>
      <c r="GY40" s="400"/>
      <c r="GZ40" s="400"/>
      <c r="HA40" s="400"/>
      <c r="HB40" s="400"/>
      <c r="HC40" s="400"/>
      <c r="HD40" s="400"/>
      <c r="HE40" s="400"/>
      <c r="HF40" s="400"/>
      <c r="HG40" s="400"/>
      <c r="HH40" s="400"/>
      <c r="HI40" s="400"/>
      <c r="HJ40" s="400"/>
      <c r="HK40" s="400"/>
      <c r="HL40" s="400"/>
      <c r="HM40" s="400"/>
      <c r="HN40" s="400"/>
      <c r="HO40" s="400"/>
      <c r="HP40" s="400"/>
      <c r="HQ40" s="400"/>
      <c r="HR40" s="400"/>
      <c r="HS40" s="400"/>
      <c r="HT40" s="400"/>
      <c r="HU40" s="400"/>
      <c r="HV40" s="400"/>
      <c r="HW40" s="400"/>
      <c r="HX40" s="400"/>
      <c r="HY40" s="400"/>
      <c r="HZ40" s="400"/>
      <c r="IA40" s="400"/>
      <c r="IB40" s="400"/>
      <c r="IC40" s="400"/>
      <c r="ID40" s="400"/>
      <c r="IE40" s="400"/>
      <c r="IF40" s="400"/>
      <c r="IG40" s="400"/>
      <c r="IH40" s="400"/>
      <c r="II40" s="400"/>
      <c r="IJ40" s="400"/>
      <c r="IK40" s="400"/>
      <c r="IL40" s="400"/>
      <c r="IM40" s="400"/>
      <c r="IN40" s="400"/>
      <c r="IO40" s="400"/>
      <c r="IP40" s="400"/>
      <c r="IQ40" s="400"/>
      <c r="IR40" s="400"/>
      <c r="IS40" s="400"/>
      <c r="IT40" s="400"/>
      <c r="IU40" s="400"/>
      <c r="IV40" s="400"/>
    </row>
    <row r="41" spans="1:256" ht="22.5" customHeight="1">
      <c r="A41" s="398"/>
      <c r="B41" s="398"/>
      <c r="D41" s="398"/>
      <c r="E41" s="435"/>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c r="GD41" s="400"/>
      <c r="GE41" s="400"/>
      <c r="GF41" s="400"/>
      <c r="GG41" s="400"/>
      <c r="GH41" s="400"/>
      <c r="GI41" s="400"/>
      <c r="GJ41" s="400"/>
      <c r="GK41" s="400"/>
      <c r="GL41" s="400"/>
      <c r="GM41" s="400"/>
      <c r="GN41" s="400"/>
      <c r="GO41" s="400"/>
      <c r="GP41" s="400"/>
      <c r="GQ41" s="400"/>
      <c r="GR41" s="400"/>
      <c r="GS41" s="400"/>
      <c r="GT41" s="400"/>
      <c r="GU41" s="400"/>
      <c r="GV41" s="400"/>
      <c r="GW41" s="400"/>
      <c r="GX41" s="400"/>
      <c r="GY41" s="400"/>
      <c r="GZ41" s="400"/>
      <c r="HA41" s="400"/>
      <c r="HB41" s="400"/>
      <c r="HC41" s="400"/>
      <c r="HD41" s="400"/>
      <c r="HE41" s="400"/>
      <c r="HF41" s="400"/>
      <c r="HG41" s="400"/>
      <c r="HH41" s="400"/>
      <c r="HI41" s="400"/>
      <c r="HJ41" s="400"/>
      <c r="HK41" s="400"/>
      <c r="HL41" s="400"/>
      <c r="HM41" s="400"/>
      <c r="HN41" s="400"/>
      <c r="HO41" s="400"/>
      <c r="HP41" s="400"/>
      <c r="HQ41" s="400"/>
      <c r="HR41" s="400"/>
      <c r="HS41" s="400"/>
      <c r="HT41" s="400"/>
      <c r="HU41" s="400"/>
      <c r="HV41" s="400"/>
      <c r="HW41" s="400"/>
      <c r="HX41" s="400"/>
      <c r="HY41" s="400"/>
      <c r="HZ41" s="400"/>
      <c r="IA41" s="400"/>
      <c r="IB41" s="400"/>
      <c r="IC41" s="400"/>
      <c r="ID41" s="400"/>
      <c r="IE41" s="400"/>
      <c r="IF41" s="400"/>
      <c r="IG41" s="400"/>
      <c r="IH41" s="400"/>
      <c r="II41" s="400"/>
      <c r="IJ41" s="400"/>
      <c r="IK41" s="400"/>
      <c r="IL41" s="400"/>
      <c r="IM41" s="400"/>
      <c r="IN41" s="400"/>
      <c r="IO41" s="400"/>
      <c r="IP41" s="400"/>
      <c r="IQ41" s="400"/>
      <c r="IR41" s="400"/>
      <c r="IS41" s="400"/>
      <c r="IT41" s="400"/>
      <c r="IU41" s="400"/>
      <c r="IV41" s="400"/>
    </row>
    <row r="42" spans="1:256" ht="22.5" customHeight="1">
      <c r="A42" s="398"/>
      <c r="B42" s="398"/>
      <c r="D42" s="398"/>
      <c r="E42" s="435"/>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c r="GD42" s="400"/>
      <c r="GE42" s="400"/>
      <c r="GF42" s="400"/>
      <c r="GG42" s="400"/>
      <c r="GH42" s="400"/>
      <c r="GI42" s="400"/>
      <c r="GJ42" s="400"/>
      <c r="GK42" s="400"/>
      <c r="GL42" s="400"/>
      <c r="GM42" s="400"/>
      <c r="GN42" s="400"/>
      <c r="GO42" s="400"/>
      <c r="GP42" s="400"/>
      <c r="GQ42" s="400"/>
      <c r="GR42" s="400"/>
      <c r="GS42" s="400"/>
      <c r="GT42" s="400"/>
      <c r="GU42" s="400"/>
      <c r="GV42" s="400"/>
      <c r="GW42" s="400"/>
      <c r="GX42" s="400"/>
      <c r="GY42" s="400"/>
      <c r="GZ42" s="400"/>
      <c r="HA42" s="400"/>
      <c r="HB42" s="400"/>
      <c r="HC42" s="400"/>
      <c r="HD42" s="400"/>
      <c r="HE42" s="400"/>
      <c r="HF42" s="400"/>
      <c r="HG42" s="400"/>
      <c r="HH42" s="400"/>
      <c r="HI42" s="400"/>
      <c r="HJ42" s="400"/>
      <c r="HK42" s="400"/>
      <c r="HL42" s="400"/>
      <c r="HM42" s="400"/>
      <c r="HN42" s="400"/>
      <c r="HO42" s="400"/>
      <c r="HP42" s="400"/>
      <c r="HQ42" s="400"/>
      <c r="HR42" s="400"/>
      <c r="HS42" s="400"/>
      <c r="HT42" s="400"/>
      <c r="HU42" s="400"/>
      <c r="HV42" s="400"/>
      <c r="HW42" s="400"/>
      <c r="HX42" s="400"/>
      <c r="HY42" s="400"/>
      <c r="HZ42" s="400"/>
      <c r="IA42" s="400"/>
      <c r="IB42" s="400"/>
      <c r="IC42" s="400"/>
      <c r="ID42" s="400"/>
      <c r="IE42" s="400"/>
      <c r="IF42" s="400"/>
      <c r="IG42" s="400"/>
      <c r="IH42" s="400"/>
      <c r="II42" s="400"/>
      <c r="IJ42" s="400"/>
      <c r="IK42" s="400"/>
      <c r="IL42" s="400"/>
      <c r="IM42" s="400"/>
      <c r="IN42" s="400"/>
      <c r="IO42" s="400"/>
      <c r="IP42" s="400"/>
      <c r="IQ42" s="400"/>
      <c r="IR42" s="400"/>
      <c r="IS42" s="400"/>
      <c r="IT42" s="400"/>
      <c r="IU42" s="400"/>
      <c r="IV42" s="400"/>
    </row>
    <row r="43" spans="1:256" ht="22.5" customHeight="1">
      <c r="A43" s="398"/>
      <c r="B43" s="398"/>
      <c r="D43" s="398"/>
      <c r="E43" s="435"/>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c r="GD43" s="400"/>
      <c r="GE43" s="400"/>
      <c r="GF43" s="400"/>
      <c r="GG43" s="400"/>
      <c r="GH43" s="400"/>
      <c r="GI43" s="400"/>
      <c r="GJ43" s="400"/>
      <c r="GK43" s="400"/>
      <c r="GL43" s="400"/>
      <c r="GM43" s="400"/>
      <c r="GN43" s="400"/>
      <c r="GO43" s="400"/>
      <c r="GP43" s="400"/>
      <c r="GQ43" s="400"/>
      <c r="GR43" s="400"/>
      <c r="GS43" s="400"/>
      <c r="GT43" s="400"/>
      <c r="GU43" s="400"/>
      <c r="GV43" s="400"/>
      <c r="GW43" s="400"/>
      <c r="GX43" s="400"/>
      <c r="GY43" s="400"/>
      <c r="GZ43" s="400"/>
      <c r="HA43" s="400"/>
      <c r="HB43" s="400"/>
      <c r="HC43" s="400"/>
      <c r="HD43" s="400"/>
      <c r="HE43" s="400"/>
      <c r="HF43" s="400"/>
      <c r="HG43" s="400"/>
      <c r="HH43" s="400"/>
      <c r="HI43" s="400"/>
      <c r="HJ43" s="400"/>
      <c r="HK43" s="400"/>
      <c r="HL43" s="400"/>
      <c r="HM43" s="400"/>
      <c r="HN43" s="400"/>
      <c r="HO43" s="400"/>
      <c r="HP43" s="400"/>
      <c r="HQ43" s="400"/>
      <c r="HR43" s="400"/>
      <c r="HS43" s="400"/>
      <c r="HT43" s="400"/>
      <c r="HU43" s="400"/>
      <c r="HV43" s="400"/>
      <c r="HW43" s="400"/>
      <c r="HX43" s="400"/>
      <c r="HY43" s="400"/>
      <c r="HZ43" s="400"/>
      <c r="IA43" s="400"/>
      <c r="IB43" s="400"/>
      <c r="IC43" s="400"/>
      <c r="ID43" s="400"/>
      <c r="IE43" s="400"/>
      <c r="IF43" s="400"/>
      <c r="IG43" s="400"/>
      <c r="IH43" s="400"/>
      <c r="II43" s="400"/>
      <c r="IJ43" s="400"/>
      <c r="IK43" s="400"/>
      <c r="IL43" s="400"/>
      <c r="IM43" s="400"/>
      <c r="IN43" s="400"/>
      <c r="IO43" s="400"/>
      <c r="IP43" s="400"/>
      <c r="IQ43" s="400"/>
      <c r="IR43" s="400"/>
      <c r="IS43" s="400"/>
      <c r="IT43" s="400"/>
      <c r="IU43" s="400"/>
      <c r="IV43" s="400"/>
    </row>
    <row r="44" spans="1:256" ht="22.5" customHeight="1">
      <c r="A44" s="398"/>
      <c r="B44" s="398"/>
      <c r="D44" s="398"/>
      <c r="E44" s="435"/>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c r="GD44" s="400"/>
      <c r="GE44" s="400"/>
      <c r="GF44" s="400"/>
      <c r="GG44" s="400"/>
      <c r="GH44" s="400"/>
      <c r="GI44" s="400"/>
      <c r="GJ44" s="400"/>
      <c r="GK44" s="400"/>
      <c r="GL44" s="400"/>
      <c r="GM44" s="400"/>
      <c r="GN44" s="400"/>
      <c r="GO44" s="400"/>
      <c r="GP44" s="400"/>
      <c r="GQ44" s="400"/>
      <c r="GR44" s="400"/>
      <c r="GS44" s="400"/>
      <c r="GT44" s="400"/>
      <c r="GU44" s="400"/>
      <c r="GV44" s="400"/>
      <c r="GW44" s="400"/>
      <c r="GX44" s="400"/>
      <c r="GY44" s="400"/>
      <c r="GZ44" s="400"/>
      <c r="HA44" s="400"/>
      <c r="HB44" s="400"/>
      <c r="HC44" s="400"/>
      <c r="HD44" s="400"/>
      <c r="HE44" s="400"/>
      <c r="HF44" s="400"/>
      <c r="HG44" s="400"/>
      <c r="HH44" s="400"/>
      <c r="HI44" s="400"/>
      <c r="HJ44" s="400"/>
      <c r="HK44" s="400"/>
      <c r="HL44" s="400"/>
      <c r="HM44" s="400"/>
      <c r="HN44" s="400"/>
      <c r="HO44" s="400"/>
      <c r="HP44" s="400"/>
      <c r="HQ44" s="400"/>
      <c r="HR44" s="400"/>
      <c r="HS44" s="400"/>
      <c r="HT44" s="400"/>
      <c r="HU44" s="400"/>
      <c r="HV44" s="400"/>
      <c r="HW44" s="400"/>
      <c r="HX44" s="400"/>
      <c r="HY44" s="400"/>
      <c r="HZ44" s="400"/>
      <c r="IA44" s="400"/>
      <c r="IB44" s="400"/>
      <c r="IC44" s="400"/>
      <c r="ID44" s="400"/>
      <c r="IE44" s="400"/>
      <c r="IF44" s="400"/>
      <c r="IG44" s="400"/>
      <c r="IH44" s="400"/>
      <c r="II44" s="400"/>
      <c r="IJ44" s="400"/>
      <c r="IK44" s="400"/>
      <c r="IL44" s="400"/>
      <c r="IM44" s="400"/>
      <c r="IN44" s="400"/>
      <c r="IO44" s="400"/>
      <c r="IP44" s="400"/>
      <c r="IQ44" s="400"/>
      <c r="IR44" s="400"/>
      <c r="IS44" s="400"/>
      <c r="IT44" s="400"/>
      <c r="IU44" s="400"/>
      <c r="IV44" s="400"/>
    </row>
  </sheetData>
  <sheetProtection selectLockedCells="1" selectUnlockedCells="1"/>
  <mergeCells count="64">
    <mergeCell ref="A1:F1"/>
    <mergeCell ref="A2:F2"/>
    <mergeCell ref="B3:F3"/>
    <mergeCell ref="B4:F4"/>
    <mergeCell ref="A5:F5"/>
    <mergeCell ref="A8:B8"/>
    <mergeCell ref="C8:D8"/>
    <mergeCell ref="E8:F8"/>
    <mergeCell ref="A9:B9"/>
    <mergeCell ref="C9:D9"/>
    <mergeCell ref="E9:F9"/>
    <mergeCell ref="A10:B10"/>
    <mergeCell ref="C10:D10"/>
    <mergeCell ref="E10:F10"/>
    <mergeCell ref="A11:F11"/>
    <mergeCell ref="A12:B12"/>
    <mergeCell ref="C12:D12"/>
    <mergeCell ref="E12:F12"/>
    <mergeCell ref="A13:B13"/>
    <mergeCell ref="C13:D13"/>
    <mergeCell ref="E13:F13"/>
    <mergeCell ref="A14:F14"/>
    <mergeCell ref="A15:B15"/>
    <mergeCell ref="C15:D15"/>
    <mergeCell ref="E15:F15"/>
    <mergeCell ref="A16:B16"/>
    <mergeCell ref="C16:D16"/>
    <mergeCell ref="E16:F16"/>
    <mergeCell ref="A17:F17"/>
    <mergeCell ref="A18:B18"/>
    <mergeCell ref="C18:D18"/>
    <mergeCell ref="E18:F18"/>
    <mergeCell ref="A19:B19"/>
    <mergeCell ref="C19:D19"/>
    <mergeCell ref="E19:F19"/>
    <mergeCell ref="A20:F20"/>
    <mergeCell ref="A21:B21"/>
    <mergeCell ref="C21:D21"/>
    <mergeCell ref="E21:F21"/>
    <mergeCell ref="A22:B22"/>
    <mergeCell ref="C22:D22"/>
    <mergeCell ref="E22:F22"/>
    <mergeCell ref="A23:F23"/>
    <mergeCell ref="A24:B24"/>
    <mergeCell ref="C24:D24"/>
    <mergeCell ref="E24:F24"/>
    <mergeCell ref="A25:B25"/>
    <mergeCell ref="C25:D25"/>
    <mergeCell ref="E25:F25"/>
    <mergeCell ref="A26:F26"/>
    <mergeCell ref="A27:B27"/>
    <mergeCell ref="C27:D27"/>
    <mergeCell ref="E27:F27"/>
    <mergeCell ref="A28:B28"/>
    <mergeCell ref="C28:D28"/>
    <mergeCell ref="E28:F28"/>
    <mergeCell ref="A29:F29"/>
    <mergeCell ref="A30:D30"/>
    <mergeCell ref="E30:F30"/>
    <mergeCell ref="A31:F31"/>
    <mergeCell ref="A32:F32"/>
    <mergeCell ref="A6:B7"/>
    <mergeCell ref="C6:D7"/>
    <mergeCell ref="E6:F7"/>
  </mergeCells>
  <printOptions horizontalCentered="1"/>
  <pageMargins left="0" right="0" top="0" bottom="0" header="0.5118055555555555" footer="0.5118055555555555"/>
  <pageSetup horizontalDpi="300" verticalDpi="300" orientation="portrait" paperSize="9" scale="57"/>
  <drawing r:id="rId1"/>
</worksheet>
</file>

<file path=xl/worksheets/sheet9.xml><?xml version="1.0" encoding="utf-8"?>
<worksheet xmlns="http://schemas.openxmlformats.org/spreadsheetml/2006/main" xmlns:r="http://schemas.openxmlformats.org/officeDocument/2006/relationships">
  <dimension ref="A1:V97"/>
  <sheetViews>
    <sheetView showGridLines="0" view="pageBreakPreview" zoomScale="61" zoomScaleNormal="90" zoomScaleSheetLayoutView="61" workbookViewId="0" topLeftCell="A72">
      <selection activeCell="A72" sqref="A1:IV65536"/>
    </sheetView>
  </sheetViews>
  <sheetFormatPr defaultColWidth="9.140625" defaultRowHeight="33.75" customHeight="1"/>
  <cols>
    <col min="1" max="1" width="7.00390625" style="8" customWidth="1"/>
    <col min="2" max="2" width="20.8515625" style="8" customWidth="1"/>
    <col min="3" max="3" width="92.7109375" style="8" bestFit="1" customWidth="1"/>
    <col min="4" max="4" width="11.28125" style="8" customWidth="1"/>
    <col min="5" max="5" width="15.7109375" style="9" customWidth="1"/>
    <col min="6" max="6" width="16.28125" style="10" bestFit="1" customWidth="1"/>
    <col min="7" max="7" width="15.421875" style="11" bestFit="1" customWidth="1"/>
    <col min="8" max="8" width="18.28125" style="11" customWidth="1"/>
    <col min="9" max="9" width="2.7109375" style="8" bestFit="1" customWidth="1"/>
    <col min="10" max="10" width="19.00390625" style="12" bestFit="1" customWidth="1"/>
    <col min="11" max="11" width="12.7109375" style="13" bestFit="1" customWidth="1"/>
    <col min="12" max="12" width="5.421875" style="13" bestFit="1" customWidth="1"/>
    <col min="13" max="13" width="9.28125" style="13" bestFit="1" customWidth="1"/>
    <col min="14" max="14" width="10.8515625" style="13" bestFit="1" customWidth="1"/>
    <col min="15" max="15" width="9.140625" style="13" bestFit="1" customWidth="1"/>
    <col min="16" max="16" width="9.57421875" style="13" bestFit="1" customWidth="1"/>
    <col min="17" max="18" width="11.7109375" style="13" bestFit="1" customWidth="1"/>
    <col min="19" max="22" width="9.140625" style="13" bestFit="1" customWidth="1"/>
    <col min="23" max="16384" width="9.140625" style="8" bestFit="1" customWidth="1"/>
  </cols>
  <sheetData>
    <row r="1" spans="1:10" s="1" customFormat="1" ht="33.75" customHeight="1">
      <c r="A1" s="14"/>
      <c r="B1" s="15"/>
      <c r="C1" s="15"/>
      <c r="D1" s="15"/>
      <c r="E1" s="16"/>
      <c r="F1" s="17"/>
      <c r="G1" s="17"/>
      <c r="H1" s="18"/>
      <c r="J1" s="61"/>
    </row>
    <row r="2" spans="1:22" s="2" customFormat="1" ht="33.75" customHeight="1">
      <c r="A2" s="19" t="s">
        <v>449</v>
      </c>
      <c r="B2" s="19"/>
      <c r="C2" s="19"/>
      <c r="D2" s="19"/>
      <c r="E2" s="19"/>
      <c r="F2" s="19"/>
      <c r="G2" s="19"/>
      <c r="H2" s="19"/>
      <c r="J2" s="62"/>
      <c r="K2" s="63"/>
      <c r="L2" s="63"/>
      <c r="M2" s="63"/>
      <c r="N2" s="63"/>
      <c r="O2" s="63"/>
      <c r="P2" s="63"/>
      <c r="Q2" s="63"/>
      <c r="R2" s="63"/>
      <c r="S2" s="63"/>
      <c r="T2" s="63"/>
      <c r="U2" s="84"/>
      <c r="V2" s="84"/>
    </row>
    <row r="3" spans="1:22" s="2" customFormat="1" ht="33.75" customHeight="1">
      <c r="A3" s="19" t="s">
        <v>450</v>
      </c>
      <c r="B3" s="19"/>
      <c r="C3" s="19"/>
      <c r="D3" s="19"/>
      <c r="E3" s="19"/>
      <c r="F3" s="19"/>
      <c r="G3" s="19"/>
      <c r="H3" s="19"/>
      <c r="J3" s="62"/>
      <c r="K3" s="63"/>
      <c r="L3" s="63"/>
      <c r="M3" s="63"/>
      <c r="N3" s="63"/>
      <c r="O3" s="63"/>
      <c r="P3" s="63"/>
      <c r="Q3" s="63"/>
      <c r="R3" s="63"/>
      <c r="S3" s="63"/>
      <c r="T3" s="63"/>
      <c r="U3" s="84"/>
      <c r="V3" s="84"/>
    </row>
    <row r="4" spans="1:22" s="2" customFormat="1" ht="33.75" customHeight="1">
      <c r="A4" s="20" t="s">
        <v>451</v>
      </c>
      <c r="B4" s="20"/>
      <c r="C4" s="21" t="str">
        <f>RESUMO!B3</f>
        <v>CONTRATAÇÃO DE EMPRESA ESPECIALIZADA NA ÁREA DE ENGENHARIA PARA A EXECUÇÃO DOS SERVIÇOS DE MANUTENÇÃO/CONSERVAÇÃO DA INFRAESTRUTURA VIÁRIA NO MUNICÍPIO DE CAMARAGIBE.</v>
      </c>
      <c r="D4" s="21"/>
      <c r="E4" s="21"/>
      <c r="F4" s="21"/>
      <c r="G4" s="21"/>
      <c r="H4" s="21"/>
      <c r="J4" s="62"/>
      <c r="K4" s="63"/>
      <c r="L4" s="63"/>
      <c r="M4" s="63"/>
      <c r="N4" s="63"/>
      <c r="O4" s="63"/>
      <c r="P4" s="63"/>
      <c r="Q4" s="63"/>
      <c r="R4" s="63"/>
      <c r="S4" s="63"/>
      <c r="T4" s="63"/>
      <c r="U4" s="84"/>
      <c r="V4" s="84"/>
    </row>
    <row r="5" spans="1:22" s="2" customFormat="1" ht="27.75" customHeight="1">
      <c r="A5" s="20" t="s">
        <v>452</v>
      </c>
      <c r="B5" s="20"/>
      <c r="C5" s="21" t="str">
        <f>RESUMO!B4</f>
        <v>TODO MUNICÍPIO DE CAMARAGIBE/PE.</v>
      </c>
      <c r="D5" s="21"/>
      <c r="E5" s="21"/>
      <c r="F5" s="21"/>
      <c r="G5" s="21"/>
      <c r="H5" s="21"/>
      <c r="J5" s="62"/>
      <c r="K5" s="63"/>
      <c r="L5" s="63"/>
      <c r="M5" s="63"/>
      <c r="N5" s="63"/>
      <c r="O5" s="63"/>
      <c r="P5" s="63"/>
      <c r="Q5" s="63"/>
      <c r="R5" s="63"/>
      <c r="S5" s="63"/>
      <c r="T5" s="63"/>
      <c r="U5" s="84"/>
      <c r="V5" s="84"/>
    </row>
    <row r="6" spans="1:22" s="3" customFormat="1" ht="27.75" customHeight="1">
      <c r="A6" s="20" t="s">
        <v>453</v>
      </c>
      <c r="B6" s="20"/>
      <c r="C6" s="21" t="s">
        <v>454</v>
      </c>
      <c r="D6" s="21"/>
      <c r="E6" s="21"/>
      <c r="F6" s="21"/>
      <c r="G6" s="21"/>
      <c r="H6" s="21"/>
      <c r="I6" s="64"/>
      <c r="J6" s="65"/>
      <c r="K6" s="66"/>
      <c r="L6" s="67"/>
      <c r="M6" s="68"/>
      <c r="N6" s="67"/>
      <c r="O6" s="67"/>
      <c r="P6" s="69"/>
      <c r="Q6" s="67"/>
      <c r="R6" s="67"/>
      <c r="S6" s="67"/>
      <c r="T6" s="67"/>
      <c r="U6" s="5"/>
      <c r="V6" s="5"/>
    </row>
    <row r="7" spans="1:22" s="2" customFormat="1" ht="33.75" customHeight="1">
      <c r="A7" s="22" t="s">
        <v>455</v>
      </c>
      <c r="B7" s="22"/>
      <c r="C7" s="22"/>
      <c r="D7" s="22"/>
      <c r="E7" s="22"/>
      <c r="F7" s="22"/>
      <c r="G7" s="22"/>
      <c r="H7" s="22"/>
      <c r="J7" s="62"/>
      <c r="K7" s="63"/>
      <c r="L7" s="63"/>
      <c r="M7" s="63"/>
      <c r="N7" s="63"/>
      <c r="O7" s="63"/>
      <c r="P7" s="63"/>
      <c r="Q7" s="63"/>
      <c r="R7" s="63"/>
      <c r="S7" s="63"/>
      <c r="T7" s="63"/>
      <c r="U7" s="84"/>
      <c r="V7" s="84"/>
    </row>
    <row r="8" spans="1:22" s="3" customFormat="1" ht="25.5" customHeight="1">
      <c r="A8" s="23" t="s">
        <v>2</v>
      </c>
      <c r="B8" s="23" t="s">
        <v>456</v>
      </c>
      <c r="C8" s="23" t="s">
        <v>4</v>
      </c>
      <c r="D8" s="24" t="s">
        <v>457</v>
      </c>
      <c r="E8" s="24"/>
      <c r="F8" s="24"/>
      <c r="G8" s="24"/>
      <c r="H8" s="25">
        <v>0.2882</v>
      </c>
      <c r="I8" s="64"/>
      <c r="J8" s="65"/>
      <c r="K8" s="66"/>
      <c r="L8" s="67"/>
      <c r="M8" s="68"/>
      <c r="N8" s="67"/>
      <c r="O8" s="67"/>
      <c r="P8" s="69"/>
      <c r="Q8" s="67"/>
      <c r="R8" s="67"/>
      <c r="S8" s="67"/>
      <c r="T8" s="67"/>
      <c r="U8" s="5"/>
      <c r="V8" s="5"/>
    </row>
    <row r="9" spans="1:22" s="4" customFormat="1" ht="33.75" customHeight="1">
      <c r="A9" s="23"/>
      <c r="B9" s="23"/>
      <c r="C9" s="23"/>
      <c r="D9" s="23" t="s">
        <v>5</v>
      </c>
      <c r="E9" s="23" t="s">
        <v>6</v>
      </c>
      <c r="F9" s="26" t="s">
        <v>7</v>
      </c>
      <c r="G9" s="23" t="s">
        <v>458</v>
      </c>
      <c r="H9" s="23" t="s">
        <v>8</v>
      </c>
      <c r="I9" s="64"/>
      <c r="J9" s="70"/>
      <c r="K9" s="71"/>
      <c r="L9" s="72"/>
      <c r="M9" s="73"/>
      <c r="N9" s="73"/>
      <c r="O9" s="72"/>
      <c r="P9" s="72"/>
      <c r="Q9" s="72"/>
      <c r="R9" s="72"/>
      <c r="S9" s="72"/>
      <c r="T9" s="72"/>
      <c r="U9" s="7"/>
      <c r="V9" s="7"/>
    </row>
    <row r="10" spans="1:22" s="4" customFormat="1" ht="33.75" customHeight="1">
      <c r="A10" s="23"/>
      <c r="B10" s="23"/>
      <c r="C10" s="23"/>
      <c r="D10" s="23"/>
      <c r="E10" s="23"/>
      <c r="F10" s="26"/>
      <c r="G10" s="23"/>
      <c r="H10" s="23"/>
      <c r="I10" s="64"/>
      <c r="J10" s="70"/>
      <c r="K10" s="71"/>
      <c r="L10" s="72"/>
      <c r="M10" s="72"/>
      <c r="N10" s="72"/>
      <c r="O10" s="72"/>
      <c r="P10" s="72"/>
      <c r="Q10" s="72"/>
      <c r="R10" s="72"/>
      <c r="S10" s="72"/>
      <c r="T10" s="72"/>
      <c r="U10" s="7"/>
      <c r="V10" s="7"/>
    </row>
    <row r="11" spans="1:22" s="4" customFormat="1" ht="33.75" customHeight="1">
      <c r="A11" s="27" t="s">
        <v>441</v>
      </c>
      <c r="B11" s="28" t="s">
        <v>459</v>
      </c>
      <c r="C11" s="28"/>
      <c r="D11" s="28"/>
      <c r="E11" s="28"/>
      <c r="F11" s="28"/>
      <c r="G11" s="28"/>
      <c r="H11" s="28"/>
      <c r="I11" s="64"/>
      <c r="J11" s="70"/>
      <c r="K11" s="72"/>
      <c r="L11" s="72"/>
      <c r="M11" s="72"/>
      <c r="N11" s="72"/>
      <c r="O11" s="72"/>
      <c r="P11" s="72"/>
      <c r="Q11" s="72"/>
      <c r="R11" s="72"/>
      <c r="S11" s="72"/>
      <c r="T11" s="72"/>
      <c r="U11" s="7"/>
      <c r="V11" s="7"/>
    </row>
    <row r="12" spans="1:22" s="4" customFormat="1" ht="33.75" customHeight="1">
      <c r="A12" s="29" t="s">
        <v>10</v>
      </c>
      <c r="B12" s="30" t="s">
        <v>460</v>
      </c>
      <c r="C12" s="31" t="s">
        <v>461</v>
      </c>
      <c r="D12" s="32" t="s">
        <v>315</v>
      </c>
      <c r="E12" s="33">
        <f>'MEMORIA DE CALCULO'!L10</f>
        <v>12</v>
      </c>
      <c r="F12" s="34">
        <f>'COMP 001'!F13</f>
        <v>18345.65</v>
      </c>
      <c r="G12" s="35">
        <f>TRUNC(F12+F12*$H$8,2)</f>
        <v>23632.86</v>
      </c>
      <c r="H12" s="35">
        <f>TRUNC(E12*G12,2)</f>
        <v>283594.32</v>
      </c>
      <c r="I12" s="64"/>
      <c r="J12" s="74"/>
      <c r="K12" s="72"/>
      <c r="L12" s="72"/>
      <c r="M12" s="72"/>
      <c r="N12" s="72"/>
      <c r="O12" s="72"/>
      <c r="P12" s="72"/>
      <c r="Q12" s="72"/>
      <c r="R12" s="72"/>
      <c r="S12" s="72"/>
      <c r="T12" s="72"/>
      <c r="U12" s="7"/>
      <c r="V12" s="7"/>
    </row>
    <row r="13" spans="1:22" s="4" customFormat="1" ht="33.75" customHeight="1">
      <c r="A13" s="36" t="s">
        <v>462</v>
      </c>
      <c r="B13" s="36"/>
      <c r="C13" s="36"/>
      <c r="D13" s="36"/>
      <c r="E13" s="36"/>
      <c r="F13" s="36"/>
      <c r="G13" s="36"/>
      <c r="H13" s="37">
        <f>H12</f>
        <v>283594.32</v>
      </c>
      <c r="I13" s="64"/>
      <c r="J13" s="70"/>
      <c r="K13" s="72"/>
      <c r="L13" s="72"/>
      <c r="M13" s="72"/>
      <c r="N13" s="72"/>
      <c r="O13" s="72"/>
      <c r="P13" s="72"/>
      <c r="Q13" s="72"/>
      <c r="R13" s="72"/>
      <c r="S13" s="72"/>
      <c r="T13" s="72"/>
      <c r="U13" s="7"/>
      <c r="V13" s="7"/>
    </row>
    <row r="14" spans="1:22" s="3" customFormat="1" ht="33.75" customHeight="1">
      <c r="A14" s="27" t="s">
        <v>442</v>
      </c>
      <c r="B14" s="28" t="s">
        <v>463</v>
      </c>
      <c r="C14" s="28"/>
      <c r="D14" s="28"/>
      <c r="E14" s="28"/>
      <c r="F14" s="28"/>
      <c r="G14" s="28"/>
      <c r="H14" s="28"/>
      <c r="I14" s="75"/>
      <c r="J14" s="65"/>
      <c r="K14" s="67"/>
      <c r="L14" s="67"/>
      <c r="M14" s="67"/>
      <c r="N14" s="67"/>
      <c r="O14" s="67"/>
      <c r="P14" s="67"/>
      <c r="Q14" s="67"/>
      <c r="R14" s="67"/>
      <c r="S14" s="67"/>
      <c r="T14" s="67"/>
      <c r="U14" s="5"/>
      <c r="V14" s="5"/>
    </row>
    <row r="15" spans="1:20" s="5" customFormat="1" ht="33.75" customHeight="1">
      <c r="A15" s="38" t="s">
        <v>63</v>
      </c>
      <c r="B15" s="38" t="s">
        <v>464</v>
      </c>
      <c r="C15" s="39" t="s">
        <v>465</v>
      </c>
      <c r="D15" s="40" t="s">
        <v>466</v>
      </c>
      <c r="E15" s="41">
        <f>'MEMORIA DE CALCULO'!L12</f>
        <v>24</v>
      </c>
      <c r="F15" s="42">
        <v>390.87</v>
      </c>
      <c r="G15" s="34">
        <f aca="true" t="shared" si="0" ref="G15:G19">TRUNC(F15+F15*$H$8,2)</f>
        <v>503.51</v>
      </c>
      <c r="H15" s="34">
        <f aca="true" t="shared" si="1" ref="H15:H19">TRUNC(E15*G15,2)</f>
        <v>12084.24</v>
      </c>
      <c r="I15" s="76"/>
      <c r="J15" s="65"/>
      <c r="K15" s="67"/>
      <c r="L15" s="67"/>
      <c r="M15" s="67"/>
      <c r="N15" s="67"/>
      <c r="O15" s="67"/>
      <c r="P15" s="67"/>
      <c r="Q15" s="67"/>
      <c r="R15" s="67"/>
      <c r="S15" s="67"/>
      <c r="T15" s="67"/>
    </row>
    <row r="16" spans="1:20" s="5" customFormat="1" ht="33.75" customHeight="1">
      <c r="A16" s="43" t="s">
        <v>66</v>
      </c>
      <c r="B16" s="40" t="s">
        <v>467</v>
      </c>
      <c r="C16" s="44" t="s">
        <v>468</v>
      </c>
      <c r="D16" s="40" t="s">
        <v>466</v>
      </c>
      <c r="E16" s="41">
        <f>'MEMORIA DE CALCULO'!L13</f>
        <v>20</v>
      </c>
      <c r="F16" s="42">
        <v>410.01</v>
      </c>
      <c r="G16" s="34">
        <f t="shared" si="0"/>
        <v>528.17</v>
      </c>
      <c r="H16" s="34">
        <f t="shared" si="1"/>
        <v>10563.4</v>
      </c>
      <c r="I16" s="76"/>
      <c r="J16" s="65"/>
      <c r="K16" s="67"/>
      <c r="L16" s="67"/>
      <c r="M16" s="67"/>
      <c r="N16" s="67"/>
      <c r="O16" s="67"/>
      <c r="P16" s="67"/>
      <c r="Q16" s="67"/>
      <c r="R16" s="67"/>
      <c r="S16" s="67"/>
      <c r="T16" s="67"/>
    </row>
    <row r="17" spans="1:20" s="5" customFormat="1" ht="33.75" customHeight="1">
      <c r="A17" s="38" t="s">
        <v>69</v>
      </c>
      <c r="B17" s="40" t="s">
        <v>469</v>
      </c>
      <c r="C17" s="44" t="s">
        <v>470</v>
      </c>
      <c r="D17" s="40" t="s">
        <v>471</v>
      </c>
      <c r="E17" s="41">
        <f>'MEMORIA DE CALCULO'!L14</f>
        <v>30</v>
      </c>
      <c r="F17" s="42">
        <v>458.39</v>
      </c>
      <c r="G17" s="34">
        <f t="shared" si="0"/>
        <v>590.49</v>
      </c>
      <c r="H17" s="34">
        <f t="shared" si="1"/>
        <v>17714.7</v>
      </c>
      <c r="I17" s="76"/>
      <c r="J17" s="65"/>
      <c r="K17" s="67"/>
      <c r="L17" s="67"/>
      <c r="M17" s="67"/>
      <c r="N17" s="67"/>
      <c r="O17" s="67"/>
      <c r="P17" s="67"/>
      <c r="Q17" s="67"/>
      <c r="R17" s="67"/>
      <c r="S17" s="67"/>
      <c r="T17" s="67"/>
    </row>
    <row r="18" spans="1:20" s="5" customFormat="1" ht="33.75" customHeight="1">
      <c r="A18" s="43" t="s">
        <v>72</v>
      </c>
      <c r="B18" s="45" t="s">
        <v>472</v>
      </c>
      <c r="C18" s="46" t="s">
        <v>473</v>
      </c>
      <c r="D18" s="45" t="s">
        <v>474</v>
      </c>
      <c r="E18" s="41">
        <f>+'MEMORIA DE CALCULO'!L15</f>
        <v>250</v>
      </c>
      <c r="F18" s="42">
        <v>12.29</v>
      </c>
      <c r="G18" s="34">
        <f t="shared" si="0"/>
        <v>15.83</v>
      </c>
      <c r="H18" s="34">
        <f t="shared" si="1"/>
        <v>3957.5</v>
      </c>
      <c r="I18" s="76"/>
      <c r="J18" s="65"/>
      <c r="K18" s="67"/>
      <c r="L18" s="67"/>
      <c r="M18" s="67"/>
      <c r="N18" s="67"/>
      <c r="O18" s="67"/>
      <c r="P18" s="67"/>
      <c r="Q18" s="67"/>
      <c r="R18" s="67"/>
      <c r="S18" s="67"/>
      <c r="T18" s="67"/>
    </row>
    <row r="19" spans="1:20" s="5" customFormat="1" ht="33.75" customHeight="1">
      <c r="A19" s="38" t="s">
        <v>475</v>
      </c>
      <c r="B19" s="45" t="s">
        <v>476</v>
      </c>
      <c r="C19" s="39" t="s">
        <v>477</v>
      </c>
      <c r="D19" s="45" t="s">
        <v>478</v>
      </c>
      <c r="E19" s="41">
        <f>+'MEMORIA DE CALCULO'!L16</f>
        <v>20</v>
      </c>
      <c r="F19" s="42">
        <v>3.9</v>
      </c>
      <c r="G19" s="34">
        <f t="shared" si="0"/>
        <v>5.02</v>
      </c>
      <c r="H19" s="34">
        <f t="shared" si="1"/>
        <v>100.4</v>
      </c>
      <c r="I19" s="76"/>
      <c r="J19" s="65"/>
      <c r="K19" s="67"/>
      <c r="L19" s="67"/>
      <c r="M19" s="67"/>
      <c r="N19" s="67"/>
      <c r="O19" s="67"/>
      <c r="P19" s="67"/>
      <c r="Q19" s="67"/>
      <c r="R19" s="67"/>
      <c r="S19" s="67"/>
      <c r="T19" s="67"/>
    </row>
    <row r="20" spans="1:22" s="6" customFormat="1" ht="33.75" customHeight="1">
      <c r="A20" s="36" t="s">
        <v>479</v>
      </c>
      <c r="B20" s="36"/>
      <c r="C20" s="36"/>
      <c r="D20" s="36"/>
      <c r="E20" s="36"/>
      <c r="F20" s="36"/>
      <c r="G20" s="36"/>
      <c r="H20" s="37">
        <f>SUM(H15:H19)</f>
        <v>44420.24</v>
      </c>
      <c r="I20" s="64"/>
      <c r="J20" s="70"/>
      <c r="K20" s="72"/>
      <c r="L20" s="72"/>
      <c r="M20" s="72"/>
      <c r="N20" s="77"/>
      <c r="O20" s="72"/>
      <c r="P20" s="72"/>
      <c r="Q20" s="72"/>
      <c r="R20" s="72"/>
      <c r="S20" s="72"/>
      <c r="T20" s="72"/>
      <c r="U20" s="7"/>
      <c r="V20" s="7"/>
    </row>
    <row r="21" spans="1:22" s="4" customFormat="1" ht="33.75" customHeight="1">
      <c r="A21" s="27" t="s">
        <v>480</v>
      </c>
      <c r="B21" s="28" t="s">
        <v>481</v>
      </c>
      <c r="C21" s="28"/>
      <c r="D21" s="28"/>
      <c r="E21" s="28"/>
      <c r="F21" s="28"/>
      <c r="G21" s="28"/>
      <c r="H21" s="28"/>
      <c r="I21" s="64"/>
      <c r="J21" s="70"/>
      <c r="K21" s="72"/>
      <c r="L21" s="72"/>
      <c r="M21" s="72"/>
      <c r="N21" s="72"/>
      <c r="O21" s="72"/>
      <c r="P21" s="72"/>
      <c r="Q21" s="72"/>
      <c r="R21" s="72"/>
      <c r="S21" s="72"/>
      <c r="T21" s="72"/>
      <c r="U21" s="7"/>
      <c r="V21" s="7"/>
    </row>
    <row r="22" spans="1:20" s="7" customFormat="1" ht="33.75" customHeight="1">
      <c r="A22" s="47" t="s">
        <v>77</v>
      </c>
      <c r="B22" s="48" t="s">
        <v>482</v>
      </c>
      <c r="C22" s="49" t="s">
        <v>483</v>
      </c>
      <c r="D22" s="47" t="s">
        <v>484</v>
      </c>
      <c r="E22" s="50">
        <f>+'MEMORIA DE CALCULO'!L19</f>
        <v>20.1</v>
      </c>
      <c r="F22" s="34">
        <v>206.31</v>
      </c>
      <c r="G22" s="34">
        <f aca="true" t="shared" si="2" ref="G22:G28">TRUNC(F22+F22*$H$8,2)</f>
        <v>265.76</v>
      </c>
      <c r="H22" s="34">
        <f aca="true" t="shared" si="3" ref="H22:H28">TRUNC(E22*G22,2)</f>
        <v>5341.77</v>
      </c>
      <c r="I22" s="78"/>
      <c r="J22" s="79"/>
      <c r="K22" s="72"/>
      <c r="L22" s="72"/>
      <c r="M22" s="72"/>
      <c r="N22" s="77"/>
      <c r="O22" s="72"/>
      <c r="P22" s="72"/>
      <c r="Q22" s="72"/>
      <c r="R22" s="72"/>
      <c r="S22" s="72"/>
      <c r="T22" s="72"/>
    </row>
    <row r="23" spans="1:20" s="7" customFormat="1" ht="33.75" customHeight="1">
      <c r="A23" s="47" t="s">
        <v>80</v>
      </c>
      <c r="B23" s="48" t="s">
        <v>485</v>
      </c>
      <c r="C23" s="49" t="s">
        <v>486</v>
      </c>
      <c r="D23" s="47" t="s">
        <v>484</v>
      </c>
      <c r="E23" s="50">
        <f>+'MEMORIA DE CALCULO'!L20</f>
        <v>26.1</v>
      </c>
      <c r="F23" s="34">
        <v>285.56</v>
      </c>
      <c r="G23" s="34">
        <f t="shared" si="2"/>
        <v>367.85</v>
      </c>
      <c r="H23" s="34">
        <f t="shared" si="3"/>
        <v>9600.88</v>
      </c>
      <c r="I23" s="78"/>
      <c r="J23" s="79"/>
      <c r="K23" s="72"/>
      <c r="L23" s="72"/>
      <c r="M23" s="72"/>
      <c r="N23" s="77"/>
      <c r="O23" s="72"/>
      <c r="P23" s="72"/>
      <c r="Q23" s="72"/>
      <c r="R23" s="72"/>
      <c r="S23" s="72"/>
      <c r="T23" s="72"/>
    </row>
    <row r="24" spans="1:20" s="7" customFormat="1" ht="33.75" customHeight="1">
      <c r="A24" s="47" t="s">
        <v>83</v>
      </c>
      <c r="B24" s="48" t="s">
        <v>487</v>
      </c>
      <c r="C24" s="49" t="s">
        <v>488</v>
      </c>
      <c r="D24" s="47" t="s">
        <v>466</v>
      </c>
      <c r="E24" s="50">
        <f>+'MEMORIA DE CALCULO'!L21</f>
        <v>7920</v>
      </c>
      <c r="F24" s="34">
        <v>18.36</v>
      </c>
      <c r="G24" s="34">
        <f t="shared" si="2"/>
        <v>23.65</v>
      </c>
      <c r="H24" s="34">
        <f t="shared" si="3"/>
        <v>187308</v>
      </c>
      <c r="I24" s="78"/>
      <c r="J24" s="79"/>
      <c r="K24" s="72"/>
      <c r="L24" s="72"/>
      <c r="M24" s="72"/>
      <c r="N24" s="77"/>
      <c r="O24" s="72"/>
      <c r="P24" s="72"/>
      <c r="Q24" s="72"/>
      <c r="R24" s="72"/>
      <c r="S24" s="72"/>
      <c r="T24" s="72"/>
    </row>
    <row r="25" spans="1:20" s="7" customFormat="1" ht="33.75" customHeight="1">
      <c r="A25" s="47" t="s">
        <v>86</v>
      </c>
      <c r="B25" s="48" t="s">
        <v>489</v>
      </c>
      <c r="C25" s="51" t="s">
        <v>490</v>
      </c>
      <c r="D25" s="47" t="s">
        <v>466</v>
      </c>
      <c r="E25" s="50">
        <f>+'MEMORIA DE CALCULO'!L22</f>
        <v>356.4</v>
      </c>
      <c r="F25" s="34">
        <v>15.1</v>
      </c>
      <c r="G25" s="34">
        <f t="shared" si="2"/>
        <v>19.45</v>
      </c>
      <c r="H25" s="34">
        <f t="shared" si="3"/>
        <v>6931.98</v>
      </c>
      <c r="I25" s="78"/>
      <c r="J25" s="79"/>
      <c r="K25" s="72"/>
      <c r="L25" s="72"/>
      <c r="M25" s="72"/>
      <c r="N25" s="77"/>
      <c r="O25" s="72"/>
      <c r="P25" s="72"/>
      <c r="Q25" s="72"/>
      <c r="R25" s="72"/>
      <c r="S25" s="72"/>
      <c r="T25" s="72"/>
    </row>
    <row r="26" spans="1:20" s="7" customFormat="1" ht="33.75" customHeight="1">
      <c r="A26" s="47" t="s">
        <v>89</v>
      </c>
      <c r="B26" s="48" t="s">
        <v>491</v>
      </c>
      <c r="C26" s="49" t="s">
        <v>492</v>
      </c>
      <c r="D26" s="47" t="s">
        <v>466</v>
      </c>
      <c r="E26" s="50">
        <f>+'MEMORIA DE CALCULO'!L23</f>
        <v>7920</v>
      </c>
      <c r="F26" s="34">
        <v>12.28</v>
      </c>
      <c r="G26" s="34">
        <f t="shared" si="2"/>
        <v>15.81</v>
      </c>
      <c r="H26" s="34">
        <f t="shared" si="3"/>
        <v>125215.2</v>
      </c>
      <c r="I26" s="78"/>
      <c r="J26" s="79"/>
      <c r="K26" s="72"/>
      <c r="L26" s="72"/>
      <c r="M26" s="72"/>
      <c r="N26" s="77"/>
      <c r="O26" s="72"/>
      <c r="P26" s="72"/>
      <c r="Q26" s="72"/>
      <c r="R26" s="72"/>
      <c r="S26" s="72"/>
      <c r="T26" s="72"/>
    </row>
    <row r="27" spans="1:20" s="7" customFormat="1" ht="33.75" customHeight="1">
      <c r="A27" s="47" t="s">
        <v>92</v>
      </c>
      <c r="B27" s="48" t="s">
        <v>493</v>
      </c>
      <c r="C27" s="49" t="s">
        <v>494</v>
      </c>
      <c r="D27" s="47" t="s">
        <v>495</v>
      </c>
      <c r="E27" s="50">
        <f>+'MEMORIA DE CALCULO'!L24</f>
        <v>1260</v>
      </c>
      <c r="F27" s="34">
        <v>3.25</v>
      </c>
      <c r="G27" s="34">
        <f t="shared" si="2"/>
        <v>4.18</v>
      </c>
      <c r="H27" s="34">
        <f t="shared" si="3"/>
        <v>5266.8</v>
      </c>
      <c r="I27" s="78"/>
      <c r="J27" s="79"/>
      <c r="K27" s="72"/>
      <c r="L27" s="72"/>
      <c r="M27" s="72"/>
      <c r="N27" s="77"/>
      <c r="O27" s="72"/>
      <c r="P27" s="72"/>
      <c r="Q27" s="72"/>
      <c r="R27" s="72"/>
      <c r="S27" s="72"/>
      <c r="T27" s="72"/>
    </row>
    <row r="28" spans="1:20" s="7" customFormat="1" ht="33.75" customHeight="1">
      <c r="A28" s="47" t="s">
        <v>95</v>
      </c>
      <c r="B28" s="48" t="s">
        <v>496</v>
      </c>
      <c r="C28" s="49" t="s">
        <v>497</v>
      </c>
      <c r="D28" s="47" t="s">
        <v>495</v>
      </c>
      <c r="E28" s="50">
        <f>+'MEMORIA DE CALCULO'!L25</f>
        <v>1260</v>
      </c>
      <c r="F28" s="34">
        <v>3.11</v>
      </c>
      <c r="G28" s="34">
        <f t="shared" si="2"/>
        <v>4</v>
      </c>
      <c r="H28" s="34">
        <f t="shared" si="3"/>
        <v>5040</v>
      </c>
      <c r="I28" s="78"/>
      <c r="J28" s="79"/>
      <c r="K28" s="72"/>
      <c r="L28" s="72"/>
      <c r="M28" s="72"/>
      <c r="N28" s="77"/>
      <c r="O28" s="72"/>
      <c r="P28" s="72"/>
      <c r="Q28" s="72"/>
      <c r="R28" s="72"/>
      <c r="S28" s="72"/>
      <c r="T28" s="72"/>
    </row>
    <row r="29" spans="1:22" s="4" customFormat="1" ht="33.75" customHeight="1">
      <c r="A29" s="36" t="s">
        <v>498</v>
      </c>
      <c r="B29" s="36"/>
      <c r="C29" s="36"/>
      <c r="D29" s="36"/>
      <c r="E29" s="36"/>
      <c r="F29" s="36"/>
      <c r="G29" s="36"/>
      <c r="H29" s="52">
        <f>SUM(H22:H28)</f>
        <v>344704.63</v>
      </c>
      <c r="I29" s="64"/>
      <c r="J29" s="80"/>
      <c r="K29" s="72"/>
      <c r="L29" s="72"/>
      <c r="M29" s="72"/>
      <c r="N29" s="72"/>
      <c r="O29" s="72"/>
      <c r="P29" s="72"/>
      <c r="Q29" s="72"/>
      <c r="R29" s="72"/>
      <c r="S29" s="72"/>
      <c r="T29" s="72"/>
      <c r="U29" s="7"/>
      <c r="V29" s="7"/>
    </row>
    <row r="30" spans="1:22" s="4" customFormat="1" ht="33.75" customHeight="1">
      <c r="A30" s="27" t="s">
        <v>499</v>
      </c>
      <c r="B30" s="53" t="s">
        <v>500</v>
      </c>
      <c r="C30" s="53"/>
      <c r="D30" s="53"/>
      <c r="E30" s="53"/>
      <c r="F30" s="53"/>
      <c r="G30" s="53"/>
      <c r="H30" s="53"/>
      <c r="I30" s="64"/>
      <c r="J30" s="70"/>
      <c r="K30" s="72"/>
      <c r="L30" s="72"/>
      <c r="M30" s="72"/>
      <c r="N30" s="72"/>
      <c r="O30" s="72"/>
      <c r="P30" s="72"/>
      <c r="Q30" s="72"/>
      <c r="R30" s="72"/>
      <c r="S30" s="72"/>
      <c r="T30" s="72"/>
      <c r="U30" s="7"/>
      <c r="V30" s="7"/>
    </row>
    <row r="31" spans="1:20" s="7" customFormat="1" ht="33.75" customHeight="1">
      <c r="A31" s="47" t="s">
        <v>106</v>
      </c>
      <c r="B31" s="40" t="s">
        <v>501</v>
      </c>
      <c r="C31" s="54" t="s">
        <v>502</v>
      </c>
      <c r="D31" s="55" t="s">
        <v>466</v>
      </c>
      <c r="E31" s="56">
        <f>+'MEMORIA DE CALCULO'!L28</f>
        <v>386014.75</v>
      </c>
      <c r="F31" s="42">
        <v>0.79</v>
      </c>
      <c r="G31" s="34">
        <f aca="true" t="shared" si="4" ref="G31:G40">TRUNC(F31+F31*$H$8,2)</f>
        <v>1.01</v>
      </c>
      <c r="H31" s="34">
        <f aca="true" t="shared" si="5" ref="H31:H40">TRUNC(E31*G31,2)</f>
        <v>389874.89</v>
      </c>
      <c r="I31" s="78"/>
      <c r="J31" s="70"/>
      <c r="K31" s="72"/>
      <c r="L31" s="72"/>
      <c r="M31" s="72"/>
      <c r="N31" s="77"/>
      <c r="O31" s="72"/>
      <c r="P31" s="72"/>
      <c r="Q31" s="72"/>
      <c r="R31" s="72"/>
      <c r="S31" s="72"/>
      <c r="T31" s="72"/>
    </row>
    <row r="32" spans="1:20" s="7" customFormat="1" ht="33.75" customHeight="1">
      <c r="A32" s="47" t="s">
        <v>109</v>
      </c>
      <c r="B32" s="40" t="s">
        <v>503</v>
      </c>
      <c r="C32" s="54" t="s">
        <v>504</v>
      </c>
      <c r="D32" s="47" t="s">
        <v>484</v>
      </c>
      <c r="E32" s="56">
        <f>+'MEMORIA DE CALCULO'!L29</f>
        <v>1619.64</v>
      </c>
      <c r="F32" s="42">
        <v>31.06</v>
      </c>
      <c r="G32" s="34">
        <f t="shared" si="4"/>
        <v>40.01</v>
      </c>
      <c r="H32" s="34">
        <f t="shared" si="5"/>
        <v>64801.79</v>
      </c>
      <c r="I32" s="78"/>
      <c r="J32" s="70"/>
      <c r="K32" s="72"/>
      <c r="L32" s="72"/>
      <c r="M32" s="72"/>
      <c r="N32" s="77"/>
      <c r="O32" s="72"/>
      <c r="P32" s="72"/>
      <c r="Q32" s="72"/>
      <c r="R32" s="72"/>
      <c r="S32" s="72"/>
      <c r="T32" s="72"/>
    </row>
    <row r="33" spans="1:20" s="7" customFormat="1" ht="33.75" customHeight="1">
      <c r="A33" s="47" t="s">
        <v>112</v>
      </c>
      <c r="B33" s="48" t="s">
        <v>505</v>
      </c>
      <c r="C33" s="49" t="s">
        <v>506</v>
      </c>
      <c r="D33" s="47" t="s">
        <v>484</v>
      </c>
      <c r="E33" s="50">
        <f>+'MEMORIA DE CALCULO'!L30</f>
        <v>3094.58</v>
      </c>
      <c r="F33" s="42">
        <v>31.06</v>
      </c>
      <c r="G33" s="34">
        <f t="shared" si="4"/>
        <v>40.01</v>
      </c>
      <c r="H33" s="34">
        <f t="shared" si="5"/>
        <v>123814.14</v>
      </c>
      <c r="I33" s="78"/>
      <c r="J33" s="70"/>
      <c r="K33" s="72"/>
      <c r="L33" s="72"/>
      <c r="M33" s="72"/>
      <c r="N33" s="77"/>
      <c r="O33" s="72"/>
      <c r="P33" s="72"/>
      <c r="Q33" s="72"/>
      <c r="R33" s="72"/>
      <c r="S33" s="72"/>
      <c r="T33" s="72"/>
    </row>
    <row r="34" spans="1:20" s="7" customFormat="1" ht="39" customHeight="1">
      <c r="A34" s="47" t="s">
        <v>115</v>
      </c>
      <c r="B34" s="48" t="s">
        <v>507</v>
      </c>
      <c r="C34" s="49" t="s">
        <v>508</v>
      </c>
      <c r="D34" s="47" t="s">
        <v>484</v>
      </c>
      <c r="E34" s="50">
        <f>+'MEMORIA DE CALCULO'!L31</f>
        <v>965.04</v>
      </c>
      <c r="F34" s="42">
        <v>3.79</v>
      </c>
      <c r="G34" s="34">
        <f t="shared" si="4"/>
        <v>4.88</v>
      </c>
      <c r="H34" s="34">
        <f t="shared" si="5"/>
        <v>4709.39</v>
      </c>
      <c r="I34" s="78"/>
      <c r="J34" s="70"/>
      <c r="K34" s="72"/>
      <c r="L34" s="72"/>
      <c r="M34" s="72"/>
      <c r="N34" s="77"/>
      <c r="O34" s="72"/>
      <c r="P34" s="72"/>
      <c r="Q34" s="72"/>
      <c r="R34" s="72"/>
      <c r="S34" s="72"/>
      <c r="T34" s="72"/>
    </row>
    <row r="35" spans="1:20" s="7" customFormat="1" ht="39" customHeight="1">
      <c r="A35" s="47" t="s">
        <v>118</v>
      </c>
      <c r="B35" s="48" t="s">
        <v>509</v>
      </c>
      <c r="C35" s="49" t="s">
        <v>510</v>
      </c>
      <c r="D35" s="47" t="s">
        <v>484</v>
      </c>
      <c r="E35" s="50">
        <f>+'MEMORIA DE CALCULO'!L32</f>
        <v>1237.83</v>
      </c>
      <c r="F35" s="42">
        <v>41.16</v>
      </c>
      <c r="G35" s="34">
        <f t="shared" si="4"/>
        <v>53.02</v>
      </c>
      <c r="H35" s="34">
        <f t="shared" si="5"/>
        <v>65629.74</v>
      </c>
      <c r="I35" s="78"/>
      <c r="J35" s="70"/>
      <c r="K35" s="81"/>
      <c r="L35" s="81"/>
      <c r="M35" s="72"/>
      <c r="N35" s="77"/>
      <c r="O35" s="72"/>
      <c r="P35" s="72"/>
      <c r="Q35" s="85"/>
      <c r="R35" s="72"/>
      <c r="S35" s="72"/>
      <c r="T35" s="72"/>
    </row>
    <row r="36" spans="1:20" s="7" customFormat="1" ht="39" customHeight="1">
      <c r="A36" s="47" t="s">
        <v>121</v>
      </c>
      <c r="B36" s="40" t="s">
        <v>511</v>
      </c>
      <c r="C36" s="54" t="s">
        <v>512</v>
      </c>
      <c r="D36" s="47" t="s">
        <v>484</v>
      </c>
      <c r="E36" s="56">
        <f>+'MEMORIA DE CALCULO'!L33</f>
        <v>618.92</v>
      </c>
      <c r="F36" s="42">
        <v>36.35</v>
      </c>
      <c r="G36" s="34">
        <f t="shared" si="4"/>
        <v>46.82</v>
      </c>
      <c r="H36" s="34">
        <f t="shared" si="5"/>
        <v>28977.83</v>
      </c>
      <c r="I36" s="78"/>
      <c r="J36" s="70"/>
      <c r="K36" s="81"/>
      <c r="L36" s="81"/>
      <c r="M36" s="72"/>
      <c r="N36" s="72"/>
      <c r="O36" s="72"/>
      <c r="P36" s="72"/>
      <c r="Q36" s="85"/>
      <c r="R36" s="72"/>
      <c r="S36" s="72"/>
      <c r="T36" s="72"/>
    </row>
    <row r="37" spans="1:20" s="7" customFormat="1" ht="39" customHeight="1">
      <c r="A37" s="47" t="s">
        <v>513</v>
      </c>
      <c r="B37" s="48" t="s">
        <v>514</v>
      </c>
      <c r="C37" s="54" t="s">
        <v>515</v>
      </c>
      <c r="D37" s="47" t="s">
        <v>484</v>
      </c>
      <c r="E37" s="56">
        <f>+'MEMORIA DE CALCULO'!L34</f>
        <v>928.37</v>
      </c>
      <c r="F37" s="42">
        <v>48.54</v>
      </c>
      <c r="G37" s="34">
        <f t="shared" si="4"/>
        <v>62.52</v>
      </c>
      <c r="H37" s="34">
        <f t="shared" si="5"/>
        <v>58041.69</v>
      </c>
      <c r="I37" s="78"/>
      <c r="J37" s="70"/>
      <c r="K37" s="81"/>
      <c r="L37" s="81"/>
      <c r="M37" s="72"/>
      <c r="N37" s="72"/>
      <c r="O37" s="72"/>
      <c r="P37" s="72"/>
      <c r="Q37" s="85"/>
      <c r="R37" s="72"/>
      <c r="S37" s="72"/>
      <c r="T37" s="72"/>
    </row>
    <row r="38" spans="1:20" s="7" customFormat="1" ht="39" customHeight="1">
      <c r="A38" s="47" t="s">
        <v>516</v>
      </c>
      <c r="B38" s="40" t="s">
        <v>517</v>
      </c>
      <c r="C38" s="54" t="s">
        <v>518</v>
      </c>
      <c r="D38" s="47" t="s">
        <v>484</v>
      </c>
      <c r="E38" s="56">
        <f>+'MEMORIA DE CALCULO'!L35</f>
        <v>309</v>
      </c>
      <c r="F38" s="42">
        <v>43.86</v>
      </c>
      <c r="G38" s="34">
        <f t="shared" si="4"/>
        <v>56.5</v>
      </c>
      <c r="H38" s="34">
        <f t="shared" si="5"/>
        <v>17458.5</v>
      </c>
      <c r="I38" s="78"/>
      <c r="J38" s="70"/>
      <c r="K38" s="81"/>
      <c r="L38" s="81"/>
      <c r="M38" s="72"/>
      <c r="N38" s="72"/>
      <c r="O38" s="72"/>
      <c r="P38" s="72"/>
      <c r="Q38" s="85"/>
      <c r="R38" s="72"/>
      <c r="S38" s="72"/>
      <c r="T38" s="72"/>
    </row>
    <row r="39" spans="1:20" s="7" customFormat="1" ht="39" customHeight="1">
      <c r="A39" s="47" t="s">
        <v>519</v>
      </c>
      <c r="B39" s="48" t="s">
        <v>520</v>
      </c>
      <c r="C39" s="54" t="s">
        <v>521</v>
      </c>
      <c r="D39" s="47" t="s">
        <v>484</v>
      </c>
      <c r="E39" s="56">
        <f>+'MEMORIA DE CALCULO'!L36</f>
        <v>3860.15</v>
      </c>
      <c r="F39" s="42">
        <v>66.02</v>
      </c>
      <c r="G39" s="34">
        <f t="shared" si="4"/>
        <v>85.04</v>
      </c>
      <c r="H39" s="34">
        <f t="shared" si="5"/>
        <v>328267.15</v>
      </c>
      <c r="I39" s="78"/>
      <c r="J39" s="70"/>
      <c r="K39" s="81"/>
      <c r="L39" s="81"/>
      <c r="M39" s="72"/>
      <c r="N39" s="72"/>
      <c r="O39" s="72"/>
      <c r="P39" s="72"/>
      <c r="Q39" s="85"/>
      <c r="R39" s="72"/>
      <c r="S39" s="72"/>
      <c r="T39" s="72"/>
    </row>
    <row r="40" spans="1:20" s="7" customFormat="1" ht="39" customHeight="1">
      <c r="A40" s="47" t="s">
        <v>522</v>
      </c>
      <c r="B40" s="57" t="s">
        <v>523</v>
      </c>
      <c r="C40" s="54" t="s">
        <v>524</v>
      </c>
      <c r="D40" s="47" t="s">
        <v>484</v>
      </c>
      <c r="E40" s="56">
        <f>+'MEMORIA DE CALCULO'!L37</f>
        <v>965.04</v>
      </c>
      <c r="F40" s="42">
        <v>43.86</v>
      </c>
      <c r="G40" s="34">
        <f t="shared" si="4"/>
        <v>56.5</v>
      </c>
      <c r="H40" s="34">
        <f t="shared" si="5"/>
        <v>54524.76</v>
      </c>
      <c r="I40" s="78"/>
      <c r="J40" s="82"/>
      <c r="K40" s="81"/>
      <c r="L40" s="81"/>
      <c r="M40" s="72"/>
      <c r="N40" s="72"/>
      <c r="O40" s="72"/>
      <c r="P40" s="72"/>
      <c r="Q40" s="85"/>
      <c r="R40" s="72"/>
      <c r="S40" s="72"/>
      <c r="T40" s="72"/>
    </row>
    <row r="41" spans="1:22" s="4" customFormat="1" ht="33.75" customHeight="1">
      <c r="A41" s="36" t="s">
        <v>525</v>
      </c>
      <c r="B41" s="36"/>
      <c r="C41" s="36"/>
      <c r="D41" s="36"/>
      <c r="E41" s="36"/>
      <c r="F41" s="36"/>
      <c r="G41" s="36"/>
      <c r="H41" s="37">
        <f>SUM(H31:H40)</f>
        <v>1136099.8800000001</v>
      </c>
      <c r="I41" s="64"/>
      <c r="J41" s="83"/>
      <c r="K41" s="72"/>
      <c r="L41" s="72"/>
      <c r="M41" s="72"/>
      <c r="N41" s="72"/>
      <c r="O41" s="72"/>
      <c r="P41" s="72"/>
      <c r="Q41" s="72"/>
      <c r="R41" s="72"/>
      <c r="S41" s="72"/>
      <c r="T41" s="72"/>
      <c r="U41" s="7"/>
      <c r="V41" s="7"/>
    </row>
    <row r="42" spans="1:22" s="4" customFormat="1" ht="33.75" customHeight="1">
      <c r="A42" s="27" t="s">
        <v>445</v>
      </c>
      <c r="B42" s="53" t="s">
        <v>526</v>
      </c>
      <c r="C42" s="53"/>
      <c r="D42" s="53"/>
      <c r="E42" s="53"/>
      <c r="F42" s="53"/>
      <c r="G42" s="53"/>
      <c r="H42" s="53"/>
      <c r="I42" s="64"/>
      <c r="J42" s="70"/>
      <c r="K42" s="72"/>
      <c r="L42" s="72"/>
      <c r="M42" s="72"/>
      <c r="N42" s="72"/>
      <c r="O42" s="72"/>
      <c r="P42" s="72"/>
      <c r="Q42" s="72"/>
      <c r="R42" s="72"/>
      <c r="S42" s="72"/>
      <c r="T42" s="72"/>
      <c r="U42" s="7"/>
      <c r="V42" s="7"/>
    </row>
    <row r="43" spans="1:20" s="7" customFormat="1" ht="40.5" customHeight="1">
      <c r="A43" s="47" t="s">
        <v>126</v>
      </c>
      <c r="B43" s="48" t="s">
        <v>527</v>
      </c>
      <c r="C43" s="58" t="s">
        <v>528</v>
      </c>
      <c r="D43" s="47" t="s">
        <v>466</v>
      </c>
      <c r="E43" s="50">
        <f>+'MEMORIA DE CALCULO'!L40</f>
        <v>800</v>
      </c>
      <c r="F43" s="34">
        <v>62.67</v>
      </c>
      <c r="G43" s="34">
        <f aca="true" t="shared" si="6" ref="G43:G65">TRUNC(F43+F43*$H$8,2)</f>
        <v>80.73</v>
      </c>
      <c r="H43" s="34">
        <f aca="true" t="shared" si="7" ref="H43:H51">TRUNC(E43*G43,2)</f>
        <v>64584</v>
      </c>
      <c r="I43" s="78"/>
      <c r="J43" s="70"/>
      <c r="K43" s="72"/>
      <c r="L43" s="72"/>
      <c r="M43" s="72"/>
      <c r="N43" s="77"/>
      <c r="O43" s="72"/>
      <c r="P43" s="72"/>
      <c r="Q43" s="72"/>
      <c r="R43" s="72"/>
      <c r="S43" s="72"/>
      <c r="T43" s="72"/>
    </row>
    <row r="44" spans="1:20" s="7" customFormat="1" ht="72.75" customHeight="1">
      <c r="A44" s="47" t="s">
        <v>129</v>
      </c>
      <c r="B44" s="48" t="s">
        <v>529</v>
      </c>
      <c r="C44" s="58" t="s">
        <v>530</v>
      </c>
      <c r="D44" s="47" t="s">
        <v>466</v>
      </c>
      <c r="E44" s="50">
        <f>+'MEMORIA DE CALCULO'!L41</f>
        <v>7920</v>
      </c>
      <c r="F44" s="34">
        <v>62.63</v>
      </c>
      <c r="G44" s="34">
        <f t="shared" si="6"/>
        <v>80.67</v>
      </c>
      <c r="H44" s="34">
        <f t="shared" si="7"/>
        <v>638906.4</v>
      </c>
      <c r="I44" s="78"/>
      <c r="J44" s="70"/>
      <c r="K44" s="72"/>
      <c r="L44" s="72"/>
      <c r="M44" s="72"/>
      <c r="N44" s="77"/>
      <c r="O44" s="72"/>
      <c r="P44" s="72"/>
      <c r="Q44" s="72"/>
      <c r="R44" s="72"/>
      <c r="S44" s="72"/>
      <c r="T44" s="72"/>
    </row>
    <row r="45" spans="1:20" s="7" customFormat="1" ht="39" customHeight="1">
      <c r="A45" s="47" t="s">
        <v>132</v>
      </c>
      <c r="B45" s="48" t="s">
        <v>531</v>
      </c>
      <c r="C45" s="59" t="s">
        <v>532</v>
      </c>
      <c r="D45" s="47" t="s">
        <v>495</v>
      </c>
      <c r="E45" s="50">
        <v>1260</v>
      </c>
      <c r="F45" s="34">
        <v>13.55</v>
      </c>
      <c r="G45" s="34">
        <f t="shared" si="6"/>
        <v>17.45</v>
      </c>
      <c r="H45" s="34">
        <f t="shared" si="7"/>
        <v>21987</v>
      </c>
      <c r="I45" s="78"/>
      <c r="J45" s="70"/>
      <c r="K45" s="72"/>
      <c r="L45" s="72"/>
      <c r="M45" s="72"/>
      <c r="N45" s="77"/>
      <c r="O45" s="72"/>
      <c r="P45" s="72"/>
      <c r="Q45" s="72"/>
      <c r="R45" s="72"/>
      <c r="S45" s="72"/>
      <c r="T45" s="72"/>
    </row>
    <row r="46" spans="1:20" s="7" customFormat="1" ht="66.75" customHeight="1">
      <c r="A46" s="47" t="s">
        <v>135</v>
      </c>
      <c r="B46" s="48" t="s">
        <v>533</v>
      </c>
      <c r="C46" s="58" t="s">
        <v>534</v>
      </c>
      <c r="D46" s="47" t="s">
        <v>495</v>
      </c>
      <c r="E46" s="50">
        <v>1260</v>
      </c>
      <c r="F46" s="34">
        <v>24</v>
      </c>
      <c r="G46" s="34">
        <f t="shared" si="6"/>
        <v>30.91</v>
      </c>
      <c r="H46" s="34">
        <f t="shared" si="7"/>
        <v>38946.6</v>
      </c>
      <c r="I46" s="78"/>
      <c r="J46" s="70"/>
      <c r="K46" s="72"/>
      <c r="L46" s="72"/>
      <c r="M46" s="72"/>
      <c r="N46" s="77"/>
      <c r="O46" s="72"/>
      <c r="P46" s="72"/>
      <c r="Q46" s="72"/>
      <c r="R46" s="72"/>
      <c r="S46" s="72"/>
      <c r="T46" s="72"/>
    </row>
    <row r="47" spans="1:20" s="7" customFormat="1" ht="51" customHeight="1">
      <c r="A47" s="47" t="s">
        <v>138</v>
      </c>
      <c r="B47" s="48" t="s">
        <v>535</v>
      </c>
      <c r="C47" s="58" t="s">
        <v>536</v>
      </c>
      <c r="D47" s="47" t="s">
        <v>484</v>
      </c>
      <c r="E47" s="50">
        <f>+'MEMORIA DE CALCULO'!L44</f>
        <v>396</v>
      </c>
      <c r="F47" s="34">
        <v>155.08</v>
      </c>
      <c r="G47" s="34">
        <f t="shared" si="6"/>
        <v>199.77</v>
      </c>
      <c r="H47" s="34">
        <f t="shared" si="7"/>
        <v>79108.92</v>
      </c>
      <c r="I47" s="78"/>
      <c r="J47" s="70"/>
      <c r="K47" s="72"/>
      <c r="L47" s="72"/>
      <c r="M47" s="72"/>
      <c r="N47" s="77"/>
      <c r="O47" s="72"/>
      <c r="P47" s="72"/>
      <c r="Q47" s="72"/>
      <c r="R47" s="72"/>
      <c r="S47" s="72"/>
      <c r="T47" s="72"/>
    </row>
    <row r="48" spans="1:20" s="7" customFormat="1" ht="40.5" customHeight="1">
      <c r="A48" s="47" t="s">
        <v>537</v>
      </c>
      <c r="B48" s="48" t="s">
        <v>538</v>
      </c>
      <c r="C48" s="58" t="s">
        <v>539</v>
      </c>
      <c r="D48" s="47" t="s">
        <v>401</v>
      </c>
      <c r="E48" s="50">
        <f>+'MEMORIA DE CALCULO'!L45</f>
        <v>67320</v>
      </c>
      <c r="F48" s="34">
        <v>2.07</v>
      </c>
      <c r="G48" s="34">
        <f t="shared" si="6"/>
        <v>2.66</v>
      </c>
      <c r="H48" s="34">
        <f t="shared" si="7"/>
        <v>179071.2</v>
      </c>
      <c r="I48" s="78"/>
      <c r="J48" s="70"/>
      <c r="K48" s="72"/>
      <c r="L48" s="72"/>
      <c r="M48" s="72"/>
      <c r="N48" s="77"/>
      <c r="O48" s="72"/>
      <c r="P48" s="72"/>
      <c r="Q48" s="72"/>
      <c r="R48" s="72"/>
      <c r="S48" s="72"/>
      <c r="T48" s="72"/>
    </row>
    <row r="49" spans="1:20" s="7" customFormat="1" ht="40.5" customHeight="1">
      <c r="A49" s="47" t="s">
        <v>141</v>
      </c>
      <c r="B49" s="48" t="s">
        <v>540</v>
      </c>
      <c r="C49" s="58" t="s">
        <v>541</v>
      </c>
      <c r="D49" s="47" t="s">
        <v>484</v>
      </c>
      <c r="E49" s="50">
        <f>+'MEMORIA DE CALCULO'!L47</f>
        <v>396</v>
      </c>
      <c r="F49" s="34">
        <v>104.39</v>
      </c>
      <c r="G49" s="34">
        <f t="shared" si="6"/>
        <v>134.47</v>
      </c>
      <c r="H49" s="34">
        <f t="shared" si="7"/>
        <v>53250.12</v>
      </c>
      <c r="I49" s="78"/>
      <c r="J49" s="70"/>
      <c r="K49" s="72"/>
      <c r="L49" s="72"/>
      <c r="M49" s="72"/>
      <c r="N49" s="77"/>
      <c r="O49" s="72"/>
      <c r="P49" s="72"/>
      <c r="Q49" s="72"/>
      <c r="R49" s="72"/>
      <c r="S49" s="72"/>
      <c r="T49" s="72"/>
    </row>
    <row r="50" spans="1:20" s="7" customFormat="1" ht="40.5" customHeight="1">
      <c r="A50" s="47" t="s">
        <v>144</v>
      </c>
      <c r="B50" s="48" t="s">
        <v>542</v>
      </c>
      <c r="C50" s="58" t="s">
        <v>543</v>
      </c>
      <c r="D50" s="47" t="s">
        <v>484</v>
      </c>
      <c r="E50" s="50">
        <f>+'MEMORIA DE CALCULO'!L47</f>
        <v>396</v>
      </c>
      <c r="F50" s="34">
        <v>7.11</v>
      </c>
      <c r="G50" s="34">
        <f t="shared" si="6"/>
        <v>9.15</v>
      </c>
      <c r="H50" s="34">
        <f t="shared" si="7"/>
        <v>3623.4</v>
      </c>
      <c r="I50" s="78"/>
      <c r="J50" s="70"/>
      <c r="K50" s="72"/>
      <c r="L50" s="72"/>
      <c r="M50" s="72"/>
      <c r="N50" s="77"/>
      <c r="O50" s="72"/>
      <c r="P50" s="72"/>
      <c r="Q50" s="72"/>
      <c r="R50" s="72"/>
      <c r="S50" s="72"/>
      <c r="T50" s="72"/>
    </row>
    <row r="51" spans="1:20" s="7" customFormat="1" ht="40.5" customHeight="1">
      <c r="A51" s="47" t="s">
        <v>147</v>
      </c>
      <c r="B51" s="48" t="s">
        <v>544</v>
      </c>
      <c r="C51" s="58" t="s">
        <v>545</v>
      </c>
      <c r="D51" s="47" t="s">
        <v>484</v>
      </c>
      <c r="E51" s="50">
        <f>+'MEMORIA DE CALCULO'!L48</f>
        <v>396</v>
      </c>
      <c r="F51" s="34">
        <v>17.9</v>
      </c>
      <c r="G51" s="34">
        <f t="shared" si="6"/>
        <v>23.05</v>
      </c>
      <c r="H51" s="34">
        <f t="shared" si="7"/>
        <v>9127.8</v>
      </c>
      <c r="I51" s="78"/>
      <c r="J51" s="70"/>
      <c r="K51" s="72"/>
      <c r="L51" s="72"/>
      <c r="M51" s="72"/>
      <c r="N51" s="77"/>
      <c r="O51" s="72"/>
      <c r="P51" s="72"/>
      <c r="Q51" s="72"/>
      <c r="R51" s="72"/>
      <c r="S51" s="72"/>
      <c r="T51" s="72"/>
    </row>
    <row r="52" spans="1:20" s="7" customFormat="1" ht="54" customHeight="1">
      <c r="A52" s="47" t="s">
        <v>150</v>
      </c>
      <c r="B52" s="48" t="s">
        <v>546</v>
      </c>
      <c r="C52" s="58" t="s">
        <v>547</v>
      </c>
      <c r="D52" s="47" t="s">
        <v>466</v>
      </c>
      <c r="E52" s="50">
        <f>+'MEMORIA DE CALCULO'!L49</f>
        <v>8276.4</v>
      </c>
      <c r="F52" s="34">
        <v>3.53</v>
      </c>
      <c r="G52" s="34">
        <f t="shared" si="6"/>
        <v>4.54</v>
      </c>
      <c r="H52" s="34">
        <f aca="true" t="shared" si="8" ref="H52:H65">TRUNC(E52*G52,2)</f>
        <v>37574.85</v>
      </c>
      <c r="I52" s="78"/>
      <c r="J52" s="70"/>
      <c r="K52" s="72"/>
      <c r="L52" s="72"/>
      <c r="M52" s="72"/>
      <c r="N52" s="77"/>
      <c r="O52" s="72"/>
      <c r="P52" s="72"/>
      <c r="Q52" s="72"/>
      <c r="R52" s="72"/>
      <c r="S52" s="72"/>
      <c r="T52" s="72"/>
    </row>
    <row r="53" spans="1:20" s="7" customFormat="1" ht="40.5" customHeight="1">
      <c r="A53" s="47" t="s">
        <v>548</v>
      </c>
      <c r="B53" s="48" t="s">
        <v>549</v>
      </c>
      <c r="C53" s="58" t="s">
        <v>550</v>
      </c>
      <c r="D53" s="47" t="s">
        <v>401</v>
      </c>
      <c r="E53" s="50">
        <f>+'MEMORIA DE CALCULO'!L50</f>
        <v>4138.2</v>
      </c>
      <c r="F53" s="34">
        <v>1.85</v>
      </c>
      <c r="G53" s="34">
        <f t="shared" si="6"/>
        <v>2.38</v>
      </c>
      <c r="H53" s="34">
        <f t="shared" si="8"/>
        <v>9848.91</v>
      </c>
      <c r="I53" s="78"/>
      <c r="J53" s="70"/>
      <c r="K53" s="72"/>
      <c r="L53" s="72"/>
      <c r="M53" s="72"/>
      <c r="N53" s="77"/>
      <c r="O53" s="72"/>
      <c r="P53" s="72"/>
      <c r="Q53" s="72"/>
      <c r="R53" s="72"/>
      <c r="S53" s="72"/>
      <c r="T53" s="72"/>
    </row>
    <row r="54" spans="1:20" s="7" customFormat="1" ht="33.75" customHeight="1">
      <c r="A54" s="47" t="s">
        <v>551</v>
      </c>
      <c r="B54" s="48" t="s">
        <v>552</v>
      </c>
      <c r="C54" s="58" t="s">
        <v>553</v>
      </c>
      <c r="D54" s="47" t="s">
        <v>484</v>
      </c>
      <c r="E54" s="50">
        <f>+'MEMORIA DE CALCULO'!L51</f>
        <v>396</v>
      </c>
      <c r="F54" s="34">
        <v>3.99</v>
      </c>
      <c r="G54" s="34">
        <f t="shared" si="6"/>
        <v>5.13</v>
      </c>
      <c r="H54" s="34">
        <f t="shared" si="8"/>
        <v>2031.48</v>
      </c>
      <c r="I54" s="78"/>
      <c r="J54" s="70"/>
      <c r="K54" s="72"/>
      <c r="L54" s="72"/>
      <c r="M54" s="72"/>
      <c r="N54" s="77"/>
      <c r="O54" s="72"/>
      <c r="P54" s="72"/>
      <c r="Q54" s="72"/>
      <c r="R54" s="72"/>
      <c r="S54" s="72"/>
      <c r="T54" s="72"/>
    </row>
    <row r="55" spans="1:20" s="7" customFormat="1" ht="57.75" customHeight="1">
      <c r="A55" s="47" t="s">
        <v>554</v>
      </c>
      <c r="B55" s="48" t="s">
        <v>555</v>
      </c>
      <c r="C55" s="58" t="s">
        <v>556</v>
      </c>
      <c r="D55" s="47" t="s">
        <v>484</v>
      </c>
      <c r="E55" s="56">
        <f>+'MEMORIA DE CALCULO'!L52</f>
        <v>1853.39</v>
      </c>
      <c r="F55" s="34">
        <v>100.02</v>
      </c>
      <c r="G55" s="34">
        <f t="shared" si="6"/>
        <v>128.84</v>
      </c>
      <c r="H55" s="34">
        <f t="shared" si="8"/>
        <v>238790.76</v>
      </c>
      <c r="I55" s="78"/>
      <c r="J55" s="72"/>
      <c r="K55" s="72"/>
      <c r="L55" s="72"/>
      <c r="M55" s="77"/>
      <c r="N55" s="72"/>
      <c r="O55" s="72"/>
      <c r="P55" s="72"/>
      <c r="Q55" s="72"/>
      <c r="R55" s="72"/>
      <c r="S55" s="72"/>
      <c r="T55" s="72"/>
    </row>
    <row r="56" spans="1:20" s="7" customFormat="1" ht="66.75" customHeight="1">
      <c r="A56" s="47" t="s">
        <v>557</v>
      </c>
      <c r="B56" s="40" t="s">
        <v>558</v>
      </c>
      <c r="C56" s="58" t="s">
        <v>559</v>
      </c>
      <c r="D56" s="47" t="s">
        <v>466</v>
      </c>
      <c r="E56" s="56">
        <f>+'MEMORIA DE CALCULO'!L53</f>
        <v>2337.5</v>
      </c>
      <c r="F56" s="34">
        <v>62.72</v>
      </c>
      <c r="G56" s="34">
        <f t="shared" si="6"/>
        <v>80.79</v>
      </c>
      <c r="H56" s="34">
        <f t="shared" si="8"/>
        <v>188846.62</v>
      </c>
      <c r="I56" s="78"/>
      <c r="J56" s="72"/>
      <c r="K56" s="72"/>
      <c r="L56" s="72"/>
      <c r="M56" s="77"/>
      <c r="N56" s="72"/>
      <c r="O56" s="72"/>
      <c r="P56" s="72"/>
      <c r="Q56" s="72"/>
      <c r="R56" s="72"/>
      <c r="S56" s="72"/>
      <c r="T56" s="72"/>
    </row>
    <row r="57" spans="1:20" s="7" customFormat="1" ht="66.75" customHeight="1">
      <c r="A57" s="47" t="s">
        <v>560</v>
      </c>
      <c r="B57" s="40" t="s">
        <v>561</v>
      </c>
      <c r="C57" s="60" t="s">
        <v>562</v>
      </c>
      <c r="D57" s="47" t="s">
        <v>484</v>
      </c>
      <c r="E57" s="56">
        <f>+'MEMORIA DE CALCULO'!L54</f>
        <v>17.82</v>
      </c>
      <c r="F57" s="34">
        <v>508.77</v>
      </c>
      <c r="G57" s="34">
        <f t="shared" si="6"/>
        <v>655.39</v>
      </c>
      <c r="H57" s="34">
        <f t="shared" si="8"/>
        <v>11679.04</v>
      </c>
      <c r="I57" s="78"/>
      <c r="J57" s="70"/>
      <c r="K57" s="72"/>
      <c r="L57" s="72"/>
      <c r="M57" s="72"/>
      <c r="N57" s="77"/>
      <c r="O57" s="72"/>
      <c r="P57" s="72"/>
      <c r="Q57" s="72"/>
      <c r="R57" s="72"/>
      <c r="S57" s="72"/>
      <c r="T57" s="72"/>
    </row>
    <row r="58" spans="1:20" s="7" customFormat="1" ht="40.5" customHeight="1">
      <c r="A58" s="47" t="s">
        <v>563</v>
      </c>
      <c r="B58" s="40" t="s">
        <v>564</v>
      </c>
      <c r="C58" s="58" t="s">
        <v>565</v>
      </c>
      <c r="D58" s="47" t="s">
        <v>401</v>
      </c>
      <c r="E58" s="56">
        <f>+'MEMORIA DE CALCULO'!L55</f>
        <v>2684.76</v>
      </c>
      <c r="F58" s="34">
        <v>2.28</v>
      </c>
      <c r="G58" s="34">
        <f t="shared" si="6"/>
        <v>2.93</v>
      </c>
      <c r="H58" s="34">
        <f t="shared" si="8"/>
        <v>7866.34</v>
      </c>
      <c r="I58" s="78"/>
      <c r="J58" s="70"/>
      <c r="K58" s="72"/>
      <c r="L58" s="72"/>
      <c r="M58" s="72"/>
      <c r="N58" s="77"/>
      <c r="O58" s="72"/>
      <c r="P58" s="72"/>
      <c r="Q58" s="72"/>
      <c r="R58" s="72"/>
      <c r="S58" s="72"/>
      <c r="T58" s="72"/>
    </row>
    <row r="59" spans="1:20" s="7" customFormat="1" ht="33.75" customHeight="1">
      <c r="A59" s="47" t="s">
        <v>566</v>
      </c>
      <c r="B59" s="40" t="s">
        <v>567</v>
      </c>
      <c r="C59" s="58" t="s">
        <v>568</v>
      </c>
      <c r="D59" s="47" t="s">
        <v>484</v>
      </c>
      <c r="E59" s="56">
        <f>+'MEMORIA DE CALCULO'!L56</f>
        <v>14.26</v>
      </c>
      <c r="F59" s="34">
        <v>252.42</v>
      </c>
      <c r="G59" s="34">
        <f t="shared" si="6"/>
        <v>325.16</v>
      </c>
      <c r="H59" s="34">
        <f t="shared" si="8"/>
        <v>4636.78</v>
      </c>
      <c r="I59" s="78"/>
      <c r="J59" s="70"/>
      <c r="K59" s="72"/>
      <c r="L59" s="72"/>
      <c r="M59" s="72"/>
      <c r="N59" s="77"/>
      <c r="O59" s="72"/>
      <c r="P59" s="72"/>
      <c r="Q59" s="72"/>
      <c r="R59" s="72"/>
      <c r="S59" s="72"/>
      <c r="T59" s="72"/>
    </row>
    <row r="60" spans="1:20" s="7" customFormat="1" ht="40.5" customHeight="1">
      <c r="A60" s="47" t="s">
        <v>569</v>
      </c>
      <c r="B60" s="40" t="s">
        <v>564</v>
      </c>
      <c r="C60" s="58" t="s">
        <v>565</v>
      </c>
      <c r="D60" s="47" t="s">
        <v>401</v>
      </c>
      <c r="E60" s="56">
        <f>+'MEMORIA DE CALCULO'!L57</f>
        <v>1540.08</v>
      </c>
      <c r="F60" s="34">
        <v>2.28</v>
      </c>
      <c r="G60" s="34">
        <f t="shared" si="6"/>
        <v>2.93</v>
      </c>
      <c r="H60" s="34">
        <f t="shared" si="8"/>
        <v>4512.43</v>
      </c>
      <c r="I60" s="78"/>
      <c r="J60" s="70"/>
      <c r="K60" s="72"/>
      <c r="L60" s="72"/>
      <c r="M60" s="72"/>
      <c r="N60" s="77"/>
      <c r="O60" s="72"/>
      <c r="P60" s="72"/>
      <c r="Q60" s="72"/>
      <c r="R60" s="72"/>
      <c r="S60" s="72"/>
      <c r="T60" s="72"/>
    </row>
    <row r="61" spans="1:20" s="7" customFormat="1" ht="43.5" customHeight="1">
      <c r="A61" s="47" t="s">
        <v>570</v>
      </c>
      <c r="B61" s="40" t="s">
        <v>571</v>
      </c>
      <c r="C61" s="58" t="s">
        <v>572</v>
      </c>
      <c r="D61" s="47" t="s">
        <v>495</v>
      </c>
      <c r="E61" s="56">
        <f>+'MEMORIA DE CALCULO'!L58</f>
        <v>240</v>
      </c>
      <c r="F61" s="34">
        <v>24.55</v>
      </c>
      <c r="G61" s="34">
        <f t="shared" si="6"/>
        <v>31.62</v>
      </c>
      <c r="H61" s="34">
        <f t="shared" si="8"/>
        <v>7588.8</v>
      </c>
      <c r="I61" s="78"/>
      <c r="J61" s="70"/>
      <c r="K61" s="72"/>
      <c r="L61" s="72"/>
      <c r="M61" s="72"/>
      <c r="N61" s="77"/>
      <c r="O61" s="72"/>
      <c r="P61" s="72"/>
      <c r="Q61" s="72"/>
      <c r="R61" s="72"/>
      <c r="S61" s="72"/>
      <c r="T61" s="72"/>
    </row>
    <row r="62" spans="1:20" s="7" customFormat="1" ht="33.75" customHeight="1">
      <c r="A62" s="47" t="s">
        <v>573</v>
      </c>
      <c r="B62" s="40" t="s">
        <v>574</v>
      </c>
      <c r="C62" s="58" t="s">
        <v>575</v>
      </c>
      <c r="D62" s="47" t="s">
        <v>495</v>
      </c>
      <c r="E62" s="56">
        <f>+'MEMORIA DE CALCULO'!L59</f>
        <v>560</v>
      </c>
      <c r="F62" s="34">
        <v>28.2</v>
      </c>
      <c r="G62" s="34">
        <f t="shared" si="6"/>
        <v>36.32</v>
      </c>
      <c r="H62" s="34">
        <f t="shared" si="8"/>
        <v>20339.2</v>
      </c>
      <c r="I62" s="78"/>
      <c r="J62" s="70"/>
      <c r="K62" s="72"/>
      <c r="L62" s="72"/>
      <c r="M62" s="72"/>
      <c r="N62" s="77"/>
      <c r="O62" s="72"/>
      <c r="P62" s="72"/>
      <c r="Q62" s="72"/>
      <c r="R62" s="72"/>
      <c r="S62" s="72"/>
      <c r="T62" s="72"/>
    </row>
    <row r="63" spans="1:20" s="7" customFormat="1" ht="72" customHeight="1">
      <c r="A63" s="47" t="s">
        <v>576</v>
      </c>
      <c r="B63" s="40" t="s">
        <v>577</v>
      </c>
      <c r="C63" s="58" t="s">
        <v>578</v>
      </c>
      <c r="D63" s="47" t="s">
        <v>466</v>
      </c>
      <c r="E63" s="56">
        <f>+'MEMORIA DE CALCULO'!L60</f>
        <v>200</v>
      </c>
      <c r="F63" s="34">
        <v>66.09</v>
      </c>
      <c r="G63" s="34">
        <f t="shared" si="6"/>
        <v>85.13</v>
      </c>
      <c r="H63" s="34">
        <f t="shared" si="8"/>
        <v>17026</v>
      </c>
      <c r="I63" s="78"/>
      <c r="J63" s="70"/>
      <c r="K63" s="72"/>
      <c r="L63" s="72"/>
      <c r="M63" s="72"/>
      <c r="N63" s="77"/>
      <c r="O63" s="72"/>
      <c r="P63" s="72"/>
      <c r="Q63" s="72"/>
      <c r="R63" s="72"/>
      <c r="S63" s="72"/>
      <c r="T63" s="72"/>
    </row>
    <row r="64" spans="1:20" s="7" customFormat="1" ht="33.75" customHeight="1">
      <c r="A64" s="47" t="s">
        <v>579</v>
      </c>
      <c r="B64" s="48" t="s">
        <v>580</v>
      </c>
      <c r="C64" s="54" t="s">
        <v>581</v>
      </c>
      <c r="D64" s="47" t="s">
        <v>466</v>
      </c>
      <c r="E64" s="56">
        <f>+'MEMORIA DE CALCULO'!L61</f>
        <v>200</v>
      </c>
      <c r="F64" s="34">
        <v>34.59</v>
      </c>
      <c r="G64" s="34">
        <f t="shared" si="6"/>
        <v>44.55</v>
      </c>
      <c r="H64" s="34">
        <f t="shared" si="8"/>
        <v>8910</v>
      </c>
      <c r="I64" s="78"/>
      <c r="J64" s="70"/>
      <c r="K64" s="72"/>
      <c r="L64" s="72"/>
      <c r="M64" s="72"/>
      <c r="N64" s="77"/>
      <c r="O64" s="72"/>
      <c r="P64" s="72"/>
      <c r="Q64" s="72"/>
      <c r="R64" s="72"/>
      <c r="S64" s="72"/>
      <c r="T64" s="72"/>
    </row>
    <row r="65" spans="1:20" s="7" customFormat="1" ht="45.75" customHeight="1">
      <c r="A65" s="47" t="s">
        <v>582</v>
      </c>
      <c r="B65" s="48" t="s">
        <v>583</v>
      </c>
      <c r="C65" s="54" t="s">
        <v>584</v>
      </c>
      <c r="D65" s="47" t="s">
        <v>495</v>
      </c>
      <c r="E65" s="56">
        <f>+'MEMORIA DE CALCULO'!L62</f>
        <v>320</v>
      </c>
      <c r="F65" s="34">
        <v>31.55</v>
      </c>
      <c r="G65" s="34">
        <f t="shared" si="6"/>
        <v>40.64</v>
      </c>
      <c r="H65" s="34">
        <f t="shared" si="8"/>
        <v>13004.8</v>
      </c>
      <c r="I65" s="78"/>
      <c r="J65" s="70"/>
      <c r="K65" s="72"/>
      <c r="L65" s="72"/>
      <c r="M65" s="72"/>
      <c r="N65" s="77"/>
      <c r="O65" s="72"/>
      <c r="P65" s="72"/>
      <c r="Q65" s="72"/>
      <c r="R65" s="72"/>
      <c r="S65" s="72"/>
      <c r="T65" s="72"/>
    </row>
    <row r="66" spans="1:22" s="4" customFormat="1" ht="33.75" customHeight="1">
      <c r="A66" s="36" t="s">
        <v>585</v>
      </c>
      <c r="B66" s="36"/>
      <c r="C66" s="36"/>
      <c r="D66" s="36"/>
      <c r="E66" s="36"/>
      <c r="F66" s="36"/>
      <c r="G66" s="36"/>
      <c r="H66" s="52">
        <f>SUM(H43:H65)</f>
        <v>1661261.4500000002</v>
      </c>
      <c r="I66" s="64"/>
      <c r="J66" s="83"/>
      <c r="K66" s="72"/>
      <c r="L66" s="72"/>
      <c r="M66" s="72"/>
      <c r="N66" s="72"/>
      <c r="O66" s="72"/>
      <c r="P66" s="72"/>
      <c r="Q66" s="72"/>
      <c r="R66" s="72"/>
      <c r="S66" s="72"/>
      <c r="T66" s="72"/>
      <c r="U66" s="7"/>
      <c r="V66" s="7"/>
    </row>
    <row r="67" spans="1:20" s="7" customFormat="1" ht="33.75" customHeight="1">
      <c r="A67" s="27" t="s">
        <v>446</v>
      </c>
      <c r="B67" s="53" t="s">
        <v>586</v>
      </c>
      <c r="C67" s="53"/>
      <c r="D67" s="53"/>
      <c r="E67" s="53"/>
      <c r="F67" s="53"/>
      <c r="G67" s="53"/>
      <c r="H67" s="53"/>
      <c r="I67" s="78"/>
      <c r="J67" s="70"/>
      <c r="K67" s="72"/>
      <c r="L67" s="72"/>
      <c r="M67" s="72"/>
      <c r="N67" s="72"/>
      <c r="O67" s="72"/>
      <c r="P67" s="72"/>
      <c r="Q67" s="72"/>
      <c r="R67" s="72"/>
      <c r="S67" s="72"/>
      <c r="T67" s="72"/>
    </row>
    <row r="68" spans="1:20" s="7" customFormat="1" ht="33.75" customHeight="1">
      <c r="A68" s="47" t="s">
        <v>155</v>
      </c>
      <c r="B68" s="48" t="s">
        <v>587</v>
      </c>
      <c r="C68" s="54" t="s">
        <v>588</v>
      </c>
      <c r="D68" s="47" t="s">
        <v>589</v>
      </c>
      <c r="E68" s="50">
        <f>+'MEMORIA DE CALCULO'!L65</f>
        <v>20</v>
      </c>
      <c r="F68" s="34">
        <v>66.27</v>
      </c>
      <c r="G68" s="34">
        <f aca="true" t="shared" si="9" ref="G68:G79">TRUNC(F68+F68*$H$8,2)</f>
        <v>85.36</v>
      </c>
      <c r="H68" s="34">
        <f aca="true" t="shared" si="10" ref="H68:H79">TRUNC(E68*G68,2)</f>
        <v>1707.2</v>
      </c>
      <c r="I68" s="78"/>
      <c r="J68" s="70"/>
      <c r="K68" s="72"/>
      <c r="L68" s="72"/>
      <c r="M68" s="72"/>
      <c r="N68" s="77"/>
      <c r="O68" s="72"/>
      <c r="P68" s="72"/>
      <c r="Q68" s="72"/>
      <c r="R68" s="72"/>
      <c r="S68" s="72"/>
      <c r="T68" s="72"/>
    </row>
    <row r="69" spans="1:20" s="7" customFormat="1" ht="40.5" customHeight="1">
      <c r="A69" s="47" t="s">
        <v>158</v>
      </c>
      <c r="B69" s="48" t="s">
        <v>590</v>
      </c>
      <c r="C69" s="54" t="s">
        <v>591</v>
      </c>
      <c r="D69" s="47" t="s">
        <v>589</v>
      </c>
      <c r="E69" s="50">
        <f>+'MEMORIA DE CALCULO'!L66</f>
        <v>10</v>
      </c>
      <c r="F69" s="34">
        <v>202.14</v>
      </c>
      <c r="G69" s="34">
        <f t="shared" si="9"/>
        <v>260.39</v>
      </c>
      <c r="H69" s="34">
        <f t="shared" si="10"/>
        <v>2603.9</v>
      </c>
      <c r="I69" s="78"/>
      <c r="J69" s="70"/>
      <c r="K69" s="72"/>
      <c r="L69" s="72"/>
      <c r="M69" s="72"/>
      <c r="N69" s="77"/>
      <c r="O69" s="72"/>
      <c r="P69" s="72"/>
      <c r="Q69" s="72"/>
      <c r="R69" s="72"/>
      <c r="S69" s="72"/>
      <c r="T69" s="72"/>
    </row>
    <row r="70" spans="1:20" s="7" customFormat="1" ht="40.5" customHeight="1">
      <c r="A70" s="47" t="s">
        <v>161</v>
      </c>
      <c r="B70" s="48" t="s">
        <v>592</v>
      </c>
      <c r="C70" s="54" t="s">
        <v>593</v>
      </c>
      <c r="D70" s="47" t="s">
        <v>589</v>
      </c>
      <c r="E70" s="50">
        <f>+'MEMORIA DE CALCULO'!L67</f>
        <v>10</v>
      </c>
      <c r="F70" s="34">
        <v>82.41</v>
      </c>
      <c r="G70" s="34">
        <f t="shared" si="9"/>
        <v>106.16</v>
      </c>
      <c r="H70" s="34">
        <f t="shared" si="10"/>
        <v>1061.6</v>
      </c>
      <c r="I70" s="78"/>
      <c r="J70" s="70"/>
      <c r="K70" s="72"/>
      <c r="L70" s="72"/>
      <c r="M70" s="72"/>
      <c r="N70" s="77"/>
      <c r="O70" s="72"/>
      <c r="P70" s="72"/>
      <c r="Q70" s="72"/>
      <c r="R70" s="72"/>
      <c r="S70" s="72"/>
      <c r="T70" s="72"/>
    </row>
    <row r="71" spans="1:20" s="7" customFormat="1" ht="64.5" customHeight="1">
      <c r="A71" s="47" t="s">
        <v>164</v>
      </c>
      <c r="B71" s="48" t="s">
        <v>594</v>
      </c>
      <c r="C71" s="54" t="s">
        <v>595</v>
      </c>
      <c r="D71" s="47" t="s">
        <v>589</v>
      </c>
      <c r="E71" s="50">
        <f>+'MEMORIA DE CALCULO'!L68</f>
        <v>10</v>
      </c>
      <c r="F71" s="34">
        <v>804.75</v>
      </c>
      <c r="G71" s="34">
        <f t="shared" si="9"/>
        <v>1036.67</v>
      </c>
      <c r="H71" s="34">
        <f t="shared" si="10"/>
        <v>10366.7</v>
      </c>
      <c r="I71" s="78"/>
      <c r="J71" s="70"/>
      <c r="K71" s="72"/>
      <c r="L71" s="72"/>
      <c r="M71" s="72"/>
      <c r="N71" s="77"/>
      <c r="O71" s="72"/>
      <c r="P71" s="72"/>
      <c r="Q71" s="72"/>
      <c r="R71" s="72"/>
      <c r="S71" s="72"/>
      <c r="T71" s="72"/>
    </row>
    <row r="72" spans="1:20" s="7" customFormat="1" ht="69.75" customHeight="1">
      <c r="A72" s="47" t="s">
        <v>167</v>
      </c>
      <c r="B72" s="48" t="s">
        <v>596</v>
      </c>
      <c r="C72" s="54" t="s">
        <v>597</v>
      </c>
      <c r="D72" s="47" t="s">
        <v>589</v>
      </c>
      <c r="E72" s="50">
        <f>+'MEMORIA DE CALCULO'!L69</f>
        <v>10</v>
      </c>
      <c r="F72" s="34">
        <v>1586.09</v>
      </c>
      <c r="G72" s="34">
        <f t="shared" si="9"/>
        <v>2043.2</v>
      </c>
      <c r="H72" s="34">
        <f t="shared" si="10"/>
        <v>20432</v>
      </c>
      <c r="I72" s="78"/>
      <c r="J72" s="70"/>
      <c r="K72" s="72"/>
      <c r="L72" s="72"/>
      <c r="M72" s="72"/>
      <c r="N72" s="77"/>
      <c r="O72" s="72"/>
      <c r="P72" s="72"/>
      <c r="Q72" s="72"/>
      <c r="R72" s="72"/>
      <c r="S72" s="72"/>
      <c r="T72" s="72"/>
    </row>
    <row r="73" spans="1:20" s="7" customFormat="1" ht="66.75" customHeight="1">
      <c r="A73" s="47" t="s">
        <v>170</v>
      </c>
      <c r="B73" s="48" t="s">
        <v>598</v>
      </c>
      <c r="C73" s="54" t="s">
        <v>599</v>
      </c>
      <c r="D73" s="47" t="s">
        <v>495</v>
      </c>
      <c r="E73" s="50">
        <f>'MEMORIA DE CALCULO'!L70</f>
        <v>10</v>
      </c>
      <c r="F73" s="34">
        <v>2967.52</v>
      </c>
      <c r="G73" s="34">
        <f t="shared" si="9"/>
        <v>3822.75</v>
      </c>
      <c r="H73" s="34">
        <f t="shared" si="10"/>
        <v>38227.5</v>
      </c>
      <c r="I73" s="78"/>
      <c r="J73" s="70"/>
      <c r="K73" s="72"/>
      <c r="L73" s="72"/>
      <c r="M73" s="72"/>
      <c r="N73" s="77"/>
      <c r="O73" s="72"/>
      <c r="P73" s="72"/>
      <c r="Q73" s="72"/>
      <c r="R73" s="72"/>
      <c r="S73" s="72"/>
      <c r="T73" s="72"/>
    </row>
    <row r="74" spans="1:20" s="7" customFormat="1" ht="63.75" customHeight="1">
      <c r="A74" s="47" t="s">
        <v>173</v>
      </c>
      <c r="B74" s="48" t="s">
        <v>600</v>
      </c>
      <c r="C74" s="54" t="s">
        <v>601</v>
      </c>
      <c r="D74" s="47" t="s">
        <v>495</v>
      </c>
      <c r="E74" s="50">
        <f>+'MEMORIA DE CALCULO'!L71</f>
        <v>30</v>
      </c>
      <c r="F74" s="34">
        <v>174.16</v>
      </c>
      <c r="G74" s="34">
        <f t="shared" si="9"/>
        <v>224.35</v>
      </c>
      <c r="H74" s="34">
        <f t="shared" si="10"/>
        <v>6730.5</v>
      </c>
      <c r="I74" s="78"/>
      <c r="J74" s="70"/>
      <c r="K74" s="72"/>
      <c r="L74" s="72"/>
      <c r="M74" s="72"/>
      <c r="N74" s="77"/>
      <c r="O74" s="72"/>
      <c r="P74" s="72"/>
      <c r="Q74" s="72"/>
      <c r="R74" s="72"/>
      <c r="S74" s="72"/>
      <c r="T74" s="72"/>
    </row>
    <row r="75" spans="1:20" s="7" customFormat="1" ht="63" customHeight="1">
      <c r="A75" s="47" t="s">
        <v>176</v>
      </c>
      <c r="B75" s="48" t="s">
        <v>602</v>
      </c>
      <c r="C75" s="54" t="s">
        <v>603</v>
      </c>
      <c r="D75" s="47" t="s">
        <v>495</v>
      </c>
      <c r="E75" s="50">
        <f>+'MEMORIA DE CALCULO'!L72</f>
        <v>30</v>
      </c>
      <c r="F75" s="34">
        <v>274.76</v>
      </c>
      <c r="G75" s="34">
        <f t="shared" si="9"/>
        <v>353.94</v>
      </c>
      <c r="H75" s="34">
        <f t="shared" si="10"/>
        <v>10618.2</v>
      </c>
      <c r="I75" s="78"/>
      <c r="J75" s="70"/>
      <c r="K75" s="72"/>
      <c r="L75" s="72"/>
      <c r="M75" s="72"/>
      <c r="N75" s="77"/>
      <c r="O75" s="72"/>
      <c r="P75" s="72"/>
      <c r="Q75" s="72"/>
      <c r="R75" s="72"/>
      <c r="S75" s="72"/>
      <c r="T75" s="72"/>
    </row>
    <row r="76" spans="1:20" s="7" customFormat="1" ht="57" customHeight="1">
      <c r="A76" s="47" t="s">
        <v>179</v>
      </c>
      <c r="B76" s="48" t="s">
        <v>604</v>
      </c>
      <c r="C76" s="54" t="s">
        <v>605</v>
      </c>
      <c r="D76" s="47" t="s">
        <v>495</v>
      </c>
      <c r="E76" s="50">
        <f>+'MEMORIA DE CALCULO'!L73</f>
        <v>40</v>
      </c>
      <c r="F76" s="34">
        <v>420.19</v>
      </c>
      <c r="G76" s="34">
        <f t="shared" si="9"/>
        <v>541.28</v>
      </c>
      <c r="H76" s="34">
        <f t="shared" si="10"/>
        <v>21651.2</v>
      </c>
      <c r="I76" s="78"/>
      <c r="J76" s="70"/>
      <c r="K76" s="72"/>
      <c r="L76" s="72"/>
      <c r="M76" s="72"/>
      <c r="N76" s="77"/>
      <c r="O76" s="72"/>
      <c r="P76" s="72"/>
      <c r="Q76" s="72"/>
      <c r="R76" s="72"/>
      <c r="S76" s="72"/>
      <c r="T76" s="72"/>
    </row>
    <row r="77" spans="1:20" s="7" customFormat="1" ht="63.75" customHeight="1">
      <c r="A77" s="47" t="s">
        <v>182</v>
      </c>
      <c r="B77" s="48" t="s">
        <v>606</v>
      </c>
      <c r="C77" s="54" t="s">
        <v>607</v>
      </c>
      <c r="D77" s="47" t="s">
        <v>495</v>
      </c>
      <c r="E77" s="50">
        <f>+'MEMORIA DE CALCULO'!L74</f>
        <v>30</v>
      </c>
      <c r="F77" s="34">
        <v>665.58</v>
      </c>
      <c r="G77" s="34">
        <f t="shared" si="9"/>
        <v>857.4</v>
      </c>
      <c r="H77" s="34">
        <f t="shared" si="10"/>
        <v>25722</v>
      </c>
      <c r="I77" s="78"/>
      <c r="J77" s="70"/>
      <c r="K77" s="72"/>
      <c r="L77" s="72"/>
      <c r="M77" s="72"/>
      <c r="N77" s="77"/>
      <c r="O77" s="72"/>
      <c r="P77" s="72"/>
      <c r="Q77" s="72"/>
      <c r="R77" s="72"/>
      <c r="S77" s="72"/>
      <c r="T77" s="72"/>
    </row>
    <row r="78" spans="1:20" s="7" customFormat="1" ht="55.5" customHeight="1">
      <c r="A78" s="47" t="s">
        <v>185</v>
      </c>
      <c r="B78" s="48" t="s">
        <v>608</v>
      </c>
      <c r="C78" s="54" t="s">
        <v>609</v>
      </c>
      <c r="D78" s="47" t="s">
        <v>495</v>
      </c>
      <c r="E78" s="50">
        <f>+'MEMORIA DE CALCULO'!L75</f>
        <v>60</v>
      </c>
      <c r="F78" s="34">
        <v>29.88</v>
      </c>
      <c r="G78" s="34">
        <f t="shared" si="9"/>
        <v>38.49</v>
      </c>
      <c r="H78" s="34">
        <f t="shared" si="10"/>
        <v>2309.4</v>
      </c>
      <c r="I78" s="78"/>
      <c r="J78" s="70"/>
      <c r="K78" s="72"/>
      <c r="L78" s="72"/>
      <c r="M78" s="72"/>
      <c r="N78" s="77"/>
      <c r="O78" s="72"/>
      <c r="P78" s="72"/>
      <c r="Q78" s="72"/>
      <c r="R78" s="72"/>
      <c r="S78" s="72"/>
      <c r="T78" s="72"/>
    </row>
    <row r="79" spans="1:20" s="7" customFormat="1" ht="33.75" customHeight="1">
      <c r="A79" s="47" t="s">
        <v>188</v>
      </c>
      <c r="B79" s="48" t="s">
        <v>610</v>
      </c>
      <c r="C79" s="54" t="s">
        <v>611</v>
      </c>
      <c r="D79" s="47" t="s">
        <v>495</v>
      </c>
      <c r="E79" s="50">
        <f>+'MEMORIA DE CALCULO'!L76</f>
        <v>30</v>
      </c>
      <c r="F79" s="34">
        <v>48.25</v>
      </c>
      <c r="G79" s="34">
        <f t="shared" si="9"/>
        <v>62.15</v>
      </c>
      <c r="H79" s="34">
        <f t="shared" si="10"/>
        <v>1864.5</v>
      </c>
      <c r="I79" s="78"/>
      <c r="J79" s="70"/>
      <c r="K79" s="72"/>
      <c r="L79" s="72"/>
      <c r="M79" s="72"/>
      <c r="N79" s="77"/>
      <c r="O79" s="72"/>
      <c r="P79" s="72"/>
      <c r="Q79" s="72"/>
      <c r="R79" s="72"/>
      <c r="S79" s="72"/>
      <c r="T79" s="72"/>
    </row>
    <row r="80" spans="1:22" s="4" customFormat="1" ht="33.75" customHeight="1">
      <c r="A80" s="36" t="s">
        <v>612</v>
      </c>
      <c r="B80" s="36"/>
      <c r="C80" s="36"/>
      <c r="D80" s="36"/>
      <c r="E80" s="36"/>
      <c r="F80" s="36"/>
      <c r="G80" s="36"/>
      <c r="H80" s="52">
        <f>SUM(H68:H79)</f>
        <v>143294.69999999998</v>
      </c>
      <c r="I80" s="64"/>
      <c r="J80" s="83"/>
      <c r="K80" s="72"/>
      <c r="L80" s="72"/>
      <c r="M80" s="72"/>
      <c r="N80" s="72"/>
      <c r="O80" s="72"/>
      <c r="P80" s="72"/>
      <c r="Q80" s="72"/>
      <c r="R80" s="72"/>
      <c r="S80" s="72"/>
      <c r="T80" s="72"/>
      <c r="U80" s="7"/>
      <c r="V80" s="7"/>
    </row>
    <row r="81" spans="1:22" s="4" customFormat="1" ht="33.75" customHeight="1">
      <c r="A81" s="27" t="s">
        <v>447</v>
      </c>
      <c r="B81" s="53" t="s">
        <v>613</v>
      </c>
      <c r="C81" s="53"/>
      <c r="D81" s="53"/>
      <c r="E81" s="53"/>
      <c r="F81" s="53"/>
      <c r="G81" s="53"/>
      <c r="H81" s="53"/>
      <c r="I81" s="64"/>
      <c r="J81" s="70"/>
      <c r="K81" s="72"/>
      <c r="L81" s="72"/>
      <c r="M81" s="72"/>
      <c r="N81" s="72"/>
      <c r="O81" s="72"/>
      <c r="P81" s="72"/>
      <c r="Q81" s="72"/>
      <c r="R81" s="72"/>
      <c r="S81" s="72"/>
      <c r="T81" s="72"/>
      <c r="U81" s="7"/>
      <c r="V81" s="7"/>
    </row>
    <row r="82" spans="1:20" s="7" customFormat="1" ht="42" customHeight="1">
      <c r="A82" s="47" t="s">
        <v>227</v>
      </c>
      <c r="B82" s="86" t="s">
        <v>614</v>
      </c>
      <c r="C82" s="59" t="s">
        <v>615</v>
      </c>
      <c r="D82" s="47" t="s">
        <v>616</v>
      </c>
      <c r="E82" s="56">
        <f>+'MEMORIA DE CALCULO'!L79</f>
        <v>1200</v>
      </c>
      <c r="F82" s="34">
        <v>47.26</v>
      </c>
      <c r="G82" s="34">
        <f aca="true" t="shared" si="11" ref="G82:G83">TRUNC(F82+F82*$H$8,2)</f>
        <v>60.88</v>
      </c>
      <c r="H82" s="34">
        <f aca="true" t="shared" si="12" ref="H82:H83">TRUNC(E82*G82,2)</f>
        <v>73056</v>
      </c>
      <c r="I82" s="78"/>
      <c r="J82" s="70"/>
      <c r="K82" s="72"/>
      <c r="L82" s="72"/>
      <c r="M82" s="72"/>
      <c r="N82" s="72"/>
      <c r="O82" s="72"/>
      <c r="P82" s="72"/>
      <c r="Q82" s="72"/>
      <c r="R82" s="72"/>
      <c r="S82" s="72"/>
      <c r="T82" s="72"/>
    </row>
    <row r="83" spans="1:20" s="7" customFormat="1" ht="54.75" customHeight="1">
      <c r="A83" s="47" t="s">
        <v>231</v>
      </c>
      <c r="B83" s="48" t="s">
        <v>617</v>
      </c>
      <c r="C83" s="58" t="s">
        <v>618</v>
      </c>
      <c r="D83" s="47" t="s">
        <v>616</v>
      </c>
      <c r="E83" s="56">
        <f>+'MEMORIA DE CALCULO'!L80</f>
        <v>1200</v>
      </c>
      <c r="F83" s="34">
        <v>42.4</v>
      </c>
      <c r="G83" s="34">
        <f t="shared" si="11"/>
        <v>54.61</v>
      </c>
      <c r="H83" s="34">
        <f t="shared" si="12"/>
        <v>65532</v>
      </c>
      <c r="I83" s="78"/>
      <c r="J83" s="70"/>
      <c r="K83" s="72"/>
      <c r="L83" s="72"/>
      <c r="M83" s="72"/>
      <c r="N83" s="72"/>
      <c r="O83" s="72"/>
      <c r="P83" s="72"/>
      <c r="Q83" s="72"/>
      <c r="R83" s="72"/>
      <c r="S83" s="72"/>
      <c r="T83" s="72"/>
    </row>
    <row r="84" spans="1:22" s="4" customFormat="1" ht="33.75" customHeight="1">
      <c r="A84" s="36" t="s">
        <v>619</v>
      </c>
      <c r="B84" s="36"/>
      <c r="C84" s="36"/>
      <c r="D84" s="36"/>
      <c r="E84" s="36"/>
      <c r="F84" s="36"/>
      <c r="G84" s="36"/>
      <c r="H84" s="37">
        <f>SUM(H82:H83)</f>
        <v>138588</v>
      </c>
      <c r="I84" s="64"/>
      <c r="J84" s="83"/>
      <c r="K84" s="72"/>
      <c r="L84" s="72"/>
      <c r="M84" s="72"/>
      <c r="N84" s="72"/>
      <c r="O84" s="72"/>
      <c r="P84" s="72"/>
      <c r="Q84" s="72"/>
      <c r="R84" s="72"/>
      <c r="S84" s="72"/>
      <c r="T84" s="72"/>
      <c r="U84" s="7"/>
      <c r="V84" s="7"/>
    </row>
    <row r="85" spans="1:22" s="4" customFormat="1" ht="33.75" customHeight="1">
      <c r="A85" s="87"/>
      <c r="B85" s="87"/>
      <c r="C85" s="87"/>
      <c r="D85" s="87"/>
      <c r="E85" s="87"/>
      <c r="F85" s="87"/>
      <c r="G85" s="88" t="s">
        <v>238</v>
      </c>
      <c r="H85" s="89">
        <f>H84+H80+H66+H41+H29+H20+H13</f>
        <v>3751963.22</v>
      </c>
      <c r="I85" s="64"/>
      <c r="J85" s="83"/>
      <c r="K85" s="72"/>
      <c r="L85" s="72"/>
      <c r="M85" s="72"/>
      <c r="N85" s="72"/>
      <c r="O85" s="72"/>
      <c r="P85" s="72"/>
      <c r="Q85" s="72"/>
      <c r="R85" s="72"/>
      <c r="S85" s="72"/>
      <c r="T85" s="72"/>
      <c r="U85" s="7"/>
      <c r="V85" s="7"/>
    </row>
    <row r="86" spans="1:22" s="4" customFormat="1" ht="33.75" customHeight="1">
      <c r="A86" s="90" t="s">
        <v>620</v>
      </c>
      <c r="B86" s="90"/>
      <c r="C86" s="91" t="s">
        <v>621</v>
      </c>
      <c r="D86" s="91"/>
      <c r="E86" s="91"/>
      <c r="F86" s="91"/>
      <c r="G86" s="91"/>
      <c r="H86" s="91"/>
      <c r="I86" s="64"/>
      <c r="J86" s="83"/>
      <c r="K86" s="72"/>
      <c r="L86" s="72"/>
      <c r="M86" s="72"/>
      <c r="N86" s="72"/>
      <c r="O86" s="72"/>
      <c r="P86" s="72"/>
      <c r="Q86" s="72"/>
      <c r="R86" s="72"/>
      <c r="S86" s="72"/>
      <c r="T86" s="72"/>
      <c r="U86" s="7"/>
      <c r="V86" s="7"/>
    </row>
    <row r="87" spans="1:22" s="4" customFormat="1" ht="30" customHeight="1">
      <c r="A87" s="92" t="str">
        <f>RESUMO!A32</f>
        <v>Camaragibe, 19 de abril de 2021.</v>
      </c>
      <c r="B87" s="92"/>
      <c r="C87" s="92"/>
      <c r="D87" s="92"/>
      <c r="E87" s="92"/>
      <c r="F87" s="92"/>
      <c r="G87" s="92"/>
      <c r="H87" s="92"/>
      <c r="I87" s="64"/>
      <c r="J87" s="83"/>
      <c r="K87" s="72"/>
      <c r="L87" s="72"/>
      <c r="M87" s="72"/>
      <c r="N87" s="72"/>
      <c r="O87" s="72"/>
      <c r="P87" s="72"/>
      <c r="Q87" s="72"/>
      <c r="R87" s="72"/>
      <c r="S87" s="72"/>
      <c r="T87" s="72"/>
      <c r="U87" s="7"/>
      <c r="V87" s="7"/>
    </row>
    <row r="88" spans="1:22" s="4" customFormat="1" ht="33.75" customHeight="1">
      <c r="A88" s="93"/>
      <c r="B88" s="93"/>
      <c r="C88" s="93"/>
      <c r="D88" s="93"/>
      <c r="E88" s="94"/>
      <c r="F88" s="93"/>
      <c r="G88" s="93"/>
      <c r="H88" s="93"/>
      <c r="I88" s="64"/>
      <c r="J88" s="83"/>
      <c r="K88" s="72"/>
      <c r="L88" s="72"/>
      <c r="M88" s="72"/>
      <c r="N88" s="72"/>
      <c r="O88" s="72"/>
      <c r="P88" s="72"/>
      <c r="Q88" s="72"/>
      <c r="R88" s="72"/>
      <c r="S88" s="72"/>
      <c r="T88" s="72"/>
      <c r="U88" s="7"/>
      <c r="V88" s="7"/>
    </row>
    <row r="89" spans="1:22" s="4" customFormat="1" ht="33.75" customHeight="1">
      <c r="A89" s="93"/>
      <c r="B89" s="93"/>
      <c r="C89" s="93"/>
      <c r="D89" s="93"/>
      <c r="E89" s="94"/>
      <c r="F89" s="93"/>
      <c r="G89" s="93"/>
      <c r="H89" s="93"/>
      <c r="I89" s="64"/>
      <c r="J89" s="83"/>
      <c r="K89" s="72"/>
      <c r="L89" s="72"/>
      <c r="M89" s="72"/>
      <c r="N89" s="72"/>
      <c r="O89" s="72"/>
      <c r="P89" s="72"/>
      <c r="Q89" s="72"/>
      <c r="R89" s="72"/>
      <c r="S89" s="72"/>
      <c r="T89" s="72"/>
      <c r="U89" s="7"/>
      <c r="V89" s="7"/>
    </row>
    <row r="90" spans="1:22" s="4" customFormat="1" ht="33.75" customHeight="1">
      <c r="A90" s="93"/>
      <c r="B90" s="93"/>
      <c r="C90" s="93"/>
      <c r="D90" s="93"/>
      <c r="E90" s="94"/>
      <c r="F90" s="93"/>
      <c r="G90" s="93"/>
      <c r="H90" s="93"/>
      <c r="I90" s="64"/>
      <c r="J90" s="83"/>
      <c r="K90" s="72"/>
      <c r="L90" s="72"/>
      <c r="M90" s="72"/>
      <c r="N90" s="72"/>
      <c r="O90" s="72"/>
      <c r="P90" s="72"/>
      <c r="Q90" s="72"/>
      <c r="R90" s="72"/>
      <c r="S90" s="72"/>
      <c r="T90" s="72"/>
      <c r="U90" s="7"/>
      <c r="V90" s="7"/>
    </row>
    <row r="91" spans="1:20" ht="33.75" customHeight="1">
      <c r="A91" s="93"/>
      <c r="B91" s="93"/>
      <c r="C91" s="93"/>
      <c r="D91" s="93"/>
      <c r="E91" s="94"/>
      <c r="F91" s="93"/>
      <c r="G91" s="93"/>
      <c r="H91" s="93"/>
      <c r="I91" s="64"/>
      <c r="J91" s="70"/>
      <c r="K91" s="97"/>
      <c r="L91" s="97"/>
      <c r="M91" s="97"/>
      <c r="N91" s="97"/>
      <c r="O91" s="97"/>
      <c r="P91" s="97"/>
      <c r="Q91" s="97"/>
      <c r="R91" s="72"/>
      <c r="S91" s="97"/>
      <c r="T91" s="97"/>
    </row>
    <row r="92" spans="1:20" ht="33.75" customHeight="1">
      <c r="A92" s="95"/>
      <c r="B92" s="95"/>
      <c r="C92" s="95"/>
      <c r="D92" s="95"/>
      <c r="E92" s="95"/>
      <c r="F92" s="96"/>
      <c r="G92" s="95"/>
      <c r="H92" s="95"/>
      <c r="I92" s="64"/>
      <c r="J92" s="70"/>
      <c r="K92" s="97"/>
      <c r="L92" s="97"/>
      <c r="M92" s="97"/>
      <c r="N92" s="97"/>
      <c r="O92" s="97"/>
      <c r="P92" s="97"/>
      <c r="Q92" s="97"/>
      <c r="R92" s="72"/>
      <c r="S92" s="97"/>
      <c r="T92" s="97"/>
    </row>
    <row r="93" spans="10:20" ht="33.75" customHeight="1">
      <c r="J93" s="98"/>
      <c r="K93" s="97"/>
      <c r="L93" s="97"/>
      <c r="M93" s="97"/>
      <c r="N93" s="97"/>
      <c r="O93" s="97"/>
      <c r="P93" s="97"/>
      <c r="Q93" s="97"/>
      <c r="R93" s="97"/>
      <c r="S93" s="97"/>
      <c r="T93" s="97"/>
    </row>
    <row r="94" spans="10:20" ht="33.75" customHeight="1">
      <c r="J94" s="98"/>
      <c r="K94" s="97"/>
      <c r="L94" s="97"/>
      <c r="M94" s="97"/>
      <c r="N94" s="97"/>
      <c r="O94" s="97"/>
      <c r="P94" s="97"/>
      <c r="Q94" s="97"/>
      <c r="R94" s="97"/>
      <c r="S94" s="97"/>
      <c r="T94" s="97"/>
    </row>
    <row r="95" spans="10:20" ht="33.75" customHeight="1">
      <c r="J95" s="98"/>
      <c r="K95" s="97"/>
      <c r="L95" s="97"/>
      <c r="M95" s="97"/>
      <c r="N95" s="97"/>
      <c r="O95" s="97"/>
      <c r="P95" s="97"/>
      <c r="Q95" s="97"/>
      <c r="R95" s="97"/>
      <c r="S95" s="97"/>
      <c r="T95" s="97"/>
    </row>
    <row r="96" spans="10:20" ht="33.75" customHeight="1">
      <c r="J96" s="98"/>
      <c r="K96" s="97"/>
      <c r="L96" s="97"/>
      <c r="M96" s="97"/>
      <c r="N96" s="97"/>
      <c r="O96" s="97"/>
      <c r="P96" s="97"/>
      <c r="Q96" s="97"/>
      <c r="R96" s="97"/>
      <c r="S96" s="97"/>
      <c r="T96" s="97"/>
    </row>
    <row r="97" spans="10:20" ht="33.75" customHeight="1">
      <c r="J97" s="98"/>
      <c r="K97" s="97"/>
      <c r="L97" s="97"/>
      <c r="M97" s="97"/>
      <c r="N97" s="97"/>
      <c r="O97" s="97"/>
      <c r="P97" s="97"/>
      <c r="Q97" s="97"/>
      <c r="R97" s="97"/>
      <c r="S97" s="97"/>
      <c r="T97" s="97"/>
    </row>
  </sheetData>
  <sheetProtection selectLockedCells="1" selectUnlockedCells="1"/>
  <mergeCells count="37">
    <mergeCell ref="A2:H2"/>
    <mergeCell ref="A3:H3"/>
    <mergeCell ref="A4:B4"/>
    <mergeCell ref="C4:H4"/>
    <mergeCell ref="A5:B5"/>
    <mergeCell ref="C5:H5"/>
    <mergeCell ref="A6:B6"/>
    <mergeCell ref="C6:H6"/>
    <mergeCell ref="A7:H7"/>
    <mergeCell ref="D8:G8"/>
    <mergeCell ref="M9:N9"/>
    <mergeCell ref="B11:H11"/>
    <mergeCell ref="A13:G13"/>
    <mergeCell ref="B14:H14"/>
    <mergeCell ref="A20:G20"/>
    <mergeCell ref="B21:H21"/>
    <mergeCell ref="A29:G29"/>
    <mergeCell ref="B30:H30"/>
    <mergeCell ref="A41:G41"/>
    <mergeCell ref="B42:H42"/>
    <mergeCell ref="A66:G66"/>
    <mergeCell ref="B67:H67"/>
    <mergeCell ref="A80:G80"/>
    <mergeCell ref="B81:H81"/>
    <mergeCell ref="A84:G84"/>
    <mergeCell ref="A85:F85"/>
    <mergeCell ref="A86:B86"/>
    <mergeCell ref="C86:H86"/>
    <mergeCell ref="A87:H87"/>
    <mergeCell ref="A8:A10"/>
    <mergeCell ref="B8:B10"/>
    <mergeCell ref="C8:C10"/>
    <mergeCell ref="D9:D10"/>
    <mergeCell ref="E9:E10"/>
    <mergeCell ref="F9:F10"/>
    <mergeCell ref="G9:G10"/>
    <mergeCell ref="H9:H10"/>
  </mergeCells>
  <printOptions horizontalCentered="1"/>
  <pageMargins left="0.2513888888888889" right="0.2513888888888889" top="0.7513888888888889" bottom="0.7513888888888889" header="0.2986111111111111" footer="0.2986111111111111"/>
  <pageSetup horizontalDpi="300" verticalDpi="300" orientation="portrait" paperSize="9" scale="49"/>
  <rowBreaks count="2" manualBreakCount="2">
    <brk id="41" max="7" man="1"/>
    <brk id="61"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clouise</cp:lastModifiedBy>
  <cp:lastPrinted>2019-11-21T17:06:55Z</cp:lastPrinted>
  <dcterms:created xsi:type="dcterms:W3CDTF">2010-03-01T21:06:05Z</dcterms:created>
  <dcterms:modified xsi:type="dcterms:W3CDTF">2021-04-23T14:52:01Z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1046-11.2.0.10114</vt:lpwstr>
  </property>
</Properties>
</file>