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85" tabRatio="961" activeTab="6"/>
  </bookViews>
  <sheets>
    <sheet name="ORÇAMENTO " sheetId="2" r:id="rId1"/>
    <sheet name="COMPOSIÇÃO E MEMORIA" sheetId="4" r:id="rId2"/>
    <sheet name="COTAÇÃO IMPRESSÕES" sheetId="3" r:id="rId3"/>
    <sheet name="CRONOGRAMA" sheetId="7" r:id="rId4"/>
    <sheet name="RUAS PARA PROJETO" sheetId="6" r:id="rId5"/>
    <sheet name="ETAPAS DE ENTREGA DOS PROJETOS" sheetId="8" r:id="rId6"/>
    <sheet name="BDI" sheetId="9" r:id="rId7"/>
  </sheets>
  <externalReferences>
    <externalReference r:id="rId8"/>
  </externalReferences>
  <definedNames>
    <definedName name="_xlnm.Print_Area" localSheetId="1">'COMPOSIÇÃO E MEMORIA'!$A$1:$G$30</definedName>
    <definedName name="_xlnm.Print_Area" localSheetId="3">CRONOGRAMA!$A$1:$J$21</definedName>
    <definedName name="_xlnm.Print_Area" localSheetId="0">'ORÇAMENTO '!$A$1:$I$35</definedName>
    <definedName name="_xlnm.Print_Area" localSheetId="5">'ETAPAS DE ENTREGA DOS PROJETOS'!$C$1:$I$21</definedName>
    <definedName name="_xlnm.Print_Area" localSheetId="2">'COTAÇÃO IMPRESSÕES'!$A$1:$H$37</definedName>
    <definedName name="_xlnm.Print_Area" localSheetId="4">'RUAS PARA PROJETO'!$A$1:$F$36</definedName>
    <definedName name="_xlnm.Print_Area" localSheetId="6">BDI!$A$1:$D$19</definedName>
  </definedNames>
  <calcPr calcId="144525"/>
</workbook>
</file>

<file path=xl/sharedStrings.xml><?xml version="1.0" encoding="utf-8"?>
<sst xmlns="http://schemas.openxmlformats.org/spreadsheetml/2006/main" count="367" uniqueCount="235">
  <si>
    <t>PREFEITURA MUNICIPAL DE CAMARAGIBE</t>
  </si>
  <si>
    <t xml:space="preserve"> SECRETARIA DE INFRAESTRUTURA ESRVIÇOS PÚBLICOS</t>
  </si>
  <si>
    <t xml:space="preserve">  ORÇAMENTO BÁSICO</t>
  </si>
  <si>
    <t>OBJETO:</t>
  </si>
  <si>
    <t>CONTRATAÇÃO DE EMPRESA DE ENGENHARIA CONSULTIVA PARA ELABORAÇÃO DE PROJETOS EXECUTIVOS DE TERRAPLENAGEM, PAVIMENTAÇÃO, DRENAGEM, PASSEIOS E SINALIZAÇÃO DE DIVERSAS RUAS  NO MUNICÍPIO DE CAMARAGIBE/PE.</t>
  </si>
  <si>
    <t>BDI</t>
  </si>
  <si>
    <t>LOCAL:</t>
  </si>
  <si>
    <t>DIVERSAS RUAS DO MUNICIPIO DE CAMARAGIBE-PE.</t>
  </si>
  <si>
    <t>FONTE DE PRECOS:</t>
  </si>
  <si>
    <t>COTAÇÃO DE PREÇO. TABELA DA SINAPI_PE_DESONERADA_ JULHO /2020 E COTAÇÕES + (BDI 28,82%).</t>
  </si>
  <si>
    <t>COMPOSIÇÃO DE CUSTO POR KM PROJETADO</t>
  </si>
  <si>
    <t>ITEM</t>
  </si>
  <si>
    <t xml:space="preserve"> CÓDIGO</t>
  </si>
  <si>
    <t>TABELA DE REFERENCIA</t>
  </si>
  <si>
    <t>DESCRIÇÃO</t>
  </si>
  <si>
    <t>QUANTITATIVOS</t>
  </si>
  <si>
    <t>FINANCEIROS</t>
  </si>
  <si>
    <t>UNID.</t>
  </si>
  <si>
    <t>QUANTIDADES</t>
  </si>
  <si>
    <t>SEM BDI</t>
  </si>
  <si>
    <t>COM BDI</t>
  </si>
  <si>
    <t>VALORES</t>
  </si>
  <si>
    <t>EQUIPE - NÍVEL SUPERIOR</t>
  </si>
  <si>
    <t>1.1</t>
  </si>
  <si>
    <t>SINAPI</t>
  </si>
  <si>
    <t>Engenheiro Sênior - Coordenador</t>
  </si>
  <si>
    <t>MÊS</t>
  </si>
  <si>
    <t>1.2</t>
  </si>
  <si>
    <t>Engenheiro\Arquiteto Pleno</t>
  </si>
  <si>
    <t>2.0</t>
  </si>
  <si>
    <t>EQUIPE - NÍVEL MÉDIO E ADMINISTRATIVO</t>
  </si>
  <si>
    <t>2.1</t>
  </si>
  <si>
    <t>Auxiliar técnico de engenharia</t>
  </si>
  <si>
    <t>2.2</t>
  </si>
  <si>
    <t>Topógrafo</t>
  </si>
  <si>
    <t>2.3</t>
  </si>
  <si>
    <t>Laboratorista</t>
  </si>
  <si>
    <t>2.4</t>
  </si>
  <si>
    <t>Auxiliar de Topografia</t>
  </si>
  <si>
    <t>2.5</t>
  </si>
  <si>
    <t>Auxiliar de laboratório</t>
  </si>
  <si>
    <t>2.6</t>
  </si>
  <si>
    <t>Desenhista técnico auxiliar</t>
  </si>
  <si>
    <t>3.0</t>
  </si>
  <si>
    <t>SERVIÇOS DE APOIO</t>
  </si>
  <si>
    <t>3.1</t>
  </si>
  <si>
    <t>CAMINHONETE COM MOTOR A DIESEL, POTÊNCIA 180 CV, CABINE DUPLA</t>
  </si>
  <si>
    <t>DIA</t>
  </si>
  <si>
    <t>3.2</t>
  </si>
  <si>
    <t>LOCACAO DE TEODOLITO ELETRONICO, PRECISAO ANGULAR DE 5 A 7 SEGUNDOS, H 2,27
INCLUINDO TRIPE.</t>
  </si>
  <si>
    <t>3.3</t>
  </si>
  <si>
    <t>LOCACAO DE NIVEL OPTICO, COM PRECISAO DE 0,7 MM, AUMENTO DE 32X.</t>
  </si>
  <si>
    <t>VALOR TOTAL DE PROJETO POR KM PROJETADO</t>
  </si>
  <si>
    <t>ORÇAMENTO BÁSICO PARA PAVIMENTAÇÃO</t>
  </si>
  <si>
    <t>4.0</t>
  </si>
  <si>
    <t>RUAS A SEREM PAVIMENTADAS</t>
  </si>
  <si>
    <t>TOTAL</t>
  </si>
  <si>
    <t>4.2</t>
  </si>
  <si>
    <t>COMP.01</t>
  </si>
  <si>
    <t>COTAÇÃO</t>
  </si>
  <si>
    <t>SERVIÇOS GRAFICOS (3 VIAS)</t>
  </si>
  <si>
    <t>4.1</t>
  </si>
  <si>
    <t>KM</t>
  </si>
  <si>
    <t>VALO R TOTAL</t>
  </si>
  <si>
    <t>Importa o presente orçamento em:</t>
  </si>
  <si>
    <t>DUZENTOS MIL, NOVENTA E SETE REAIS E OITENTA CENTAVOS.</t>
  </si>
  <si>
    <t>Camaragibe, novembro de 2020</t>
  </si>
  <si>
    <t>Responsável pelo orçamento</t>
  </si>
  <si>
    <t xml:space="preserve"> COTAÇÕES DE PREÇO - SERVIÇOS GRÁFICOS </t>
  </si>
  <si>
    <t>Equipe</t>
  </si>
  <si>
    <t>Pessoa / Equipe</t>
  </si>
  <si>
    <t>Carga Horária Semanal</t>
  </si>
  <si>
    <t>Média Hora/Dia</t>
  </si>
  <si>
    <t>Nº Dias</t>
  </si>
  <si>
    <t>Total de Horas</t>
  </si>
  <si>
    <t>Homem / Mês</t>
  </si>
  <si>
    <t>a</t>
  </si>
  <si>
    <t>b</t>
  </si>
  <si>
    <t>c</t>
  </si>
  <si>
    <t>d = a*b*c*d</t>
  </si>
  <si>
    <t>BASE DE DADOS</t>
  </si>
  <si>
    <t>Dias Trabalhados na Semana</t>
  </si>
  <si>
    <t>Horas/Mês</t>
  </si>
  <si>
    <t>SERVIÇOS DE APOIO (Dias)</t>
  </si>
  <si>
    <t>Transporte em caminhonete.</t>
  </si>
  <si>
    <t>(quatro) dias</t>
  </si>
  <si>
    <t>Equipamento: Teodolito</t>
  </si>
  <si>
    <t>Equipamento:Nível Optico.</t>
  </si>
  <si>
    <t>Volumes impressos</t>
  </si>
  <si>
    <t>Quantidade de Ruas</t>
  </si>
  <si>
    <t xml:space="preserve">COMPOSIÇÃO DE PREÇO 01 - SERVIÇOS GRÁFICOS </t>
  </si>
  <si>
    <t>COTAÇÃO DOS PREÇOS POR VALOR MEDIANO DAS COTAÇÕES</t>
  </si>
  <si>
    <t>Tamanho</t>
  </si>
  <si>
    <t>Tipo</t>
  </si>
  <si>
    <t>Valor Mediano (R$)</t>
  </si>
  <si>
    <t>A4</t>
  </si>
  <si>
    <t>COLORIDO</t>
  </si>
  <si>
    <t>A3</t>
  </si>
  <si>
    <t>ENCADERNAÇÃO</t>
  </si>
  <si>
    <t>RESUMO DAS COTAÇÕES REALIZADAS</t>
  </si>
  <si>
    <t>Item</t>
  </si>
  <si>
    <t>TIPO</t>
  </si>
  <si>
    <t>Valor Unitário Cotações (R$)</t>
  </si>
  <si>
    <t>Valor Unitário (R$)</t>
  </si>
  <si>
    <t>Menor</t>
  </si>
  <si>
    <t>Médio</t>
  </si>
  <si>
    <t>Mediano</t>
  </si>
  <si>
    <t>Encadernação</t>
  </si>
  <si>
    <t>Observação: Cotações das Empresas 01, 02 e 03 em Anexo.</t>
  </si>
  <si>
    <t>Dados das Empresas das Cotações Realizadas</t>
  </si>
  <si>
    <t>Cotação 01 - COPYMAIS</t>
  </si>
  <si>
    <t>Empresa:</t>
  </si>
  <si>
    <t>Copiadora e gráfica KM serviço LTDA</t>
  </si>
  <si>
    <t>CNPJ:</t>
  </si>
  <si>
    <t>02.635.488/0001-59</t>
  </si>
  <si>
    <t>Fone:</t>
  </si>
  <si>
    <t>(81) 3222-7482</t>
  </si>
  <si>
    <t>End.:</t>
  </si>
  <si>
    <t>copymais@copymais.com.br&gt; (Janicleide Santos)</t>
  </si>
  <si>
    <t>Cotação 02 - INFOPAPEIS</t>
  </si>
  <si>
    <t>Valeria Castro Jardelino da Costa</t>
  </si>
  <si>
    <t>20.988.141/0001-71</t>
  </si>
  <si>
    <t xml:space="preserve">(81) 99637.1717  - 
(81) 98877.3327 </t>
  </si>
  <si>
    <t>valeriacastrocosta@gmail.com</t>
  </si>
  <si>
    <t>Cotação 03</t>
  </si>
  <si>
    <t>REPROCENTER LTDA</t>
  </si>
  <si>
    <t xml:space="preserve"> 35.464.817/0001-03</t>
  </si>
  <si>
    <t>(81) 3423-7611</t>
  </si>
  <si>
    <t>Rua Gervasio Pires, 435, BOA VISTA, RECIFE - PE cep: 50050-070</t>
  </si>
  <si>
    <t xml:space="preserve">            SECRETARIA DE INFRAESTRUTURA E SERVIÇOS PÚBLICOS</t>
  </si>
  <si>
    <t>CRONOGRAMA FISICO FINANCEIRO DE DESEMBOLSO MÁXIMO</t>
  </si>
  <si>
    <t>SERVIÇOS</t>
  </si>
  <si>
    <t>%</t>
  </si>
  <si>
    <t>ETAPAS MENSAL</t>
  </si>
  <si>
    <t>CUSTO POR PRODUTOS</t>
  </si>
  <si>
    <t>TOTAL DO CONTRATO</t>
  </si>
  <si>
    <t>1º</t>
  </si>
  <si>
    <t>2º</t>
  </si>
  <si>
    <t>3º</t>
  </si>
  <si>
    <t>4º</t>
  </si>
  <si>
    <t>ESTUDOS</t>
  </si>
  <si>
    <t>Topográfico</t>
  </si>
  <si>
    <t>-</t>
  </si>
  <si>
    <t xml:space="preserve"> Geotécnico </t>
  </si>
  <si>
    <t xml:space="preserve"> Hidrológico</t>
  </si>
  <si>
    <t>PROJETOS</t>
  </si>
  <si>
    <t xml:space="preserve"> Geométrico</t>
  </si>
  <si>
    <t>Terraplenagem</t>
  </si>
  <si>
    <t xml:space="preserve"> Drenagem</t>
  </si>
  <si>
    <t>Pavimentação</t>
  </si>
  <si>
    <t>Passeios/Sinalização</t>
  </si>
  <si>
    <t>ORÇAMENTO</t>
  </si>
  <si>
    <t xml:space="preserve">Orçamento da Obra </t>
  </si>
  <si>
    <t xml:space="preserve">PROJETOS EXECUTIVOS DE PAVIMENTAÇÃO </t>
  </si>
  <si>
    <t>SECRETARIA DE INFRAESTRUTURA E SERVIÇOS PÚBLICOS</t>
  </si>
  <si>
    <t>LEVANTAMENTO DAS  RUAS PARA PROJETOS - ANEXO 01</t>
  </si>
  <si>
    <t>ÍTEM</t>
  </si>
  <si>
    <t>LOGRADOURO</t>
  </si>
  <si>
    <t>BAIRRO</t>
  </si>
  <si>
    <t>EXTENSÃO
(m)</t>
  </si>
  <si>
    <t>LARGURA 
(m)</t>
  </si>
  <si>
    <t>ÁREA
(m²)</t>
  </si>
  <si>
    <t>LOTE I</t>
  </si>
  <si>
    <t>RUA SÃO JOSÉ DA LAJE</t>
  </si>
  <si>
    <t>SÃO JOÃO E SÃO PAULO</t>
  </si>
  <si>
    <t>RUA DO LIVRAMENTO</t>
  </si>
  <si>
    <t>RUA MARCOS NASCIMENTO</t>
  </si>
  <si>
    <t>JOÃO PAULO II</t>
  </si>
  <si>
    <t xml:space="preserve">RUA PORTO AMAZONAS </t>
  </si>
  <si>
    <t>SÃO PEDRO</t>
  </si>
  <si>
    <t>TRAVESSA SÃO MIGUEL</t>
  </si>
  <si>
    <t xml:space="preserve">RUA DOS GEÓLOGOS </t>
  </si>
  <si>
    <t>TIMBI</t>
  </si>
  <si>
    <t>RUA DO REDENTOR</t>
  </si>
  <si>
    <t>BONDADE DE DEUS</t>
  </si>
  <si>
    <t>RUA MARIA AMÉLIA DE SANTANA</t>
  </si>
  <si>
    <t>BAIRRO DOS ESTADOS</t>
  </si>
  <si>
    <t>RUA MATO GROSSO</t>
  </si>
  <si>
    <t>RUA SÃO SEBASTIÃO</t>
  </si>
  <si>
    <t>RUA PIRACICABA</t>
  </si>
  <si>
    <t>RUA TRÊS MARIAS</t>
  </si>
  <si>
    <t>SANTA MÔNICA</t>
  </si>
  <si>
    <t>RUA MANOEL BIONE</t>
  </si>
  <si>
    <t>VERA CRUZ</t>
  </si>
  <si>
    <t>RUA PRAZERES LOPES DOS SANTOS</t>
  </si>
  <si>
    <t>TABATINGA</t>
  </si>
  <si>
    <t>ESTRADA DE PAU FERRO + RUA ALFREDO MUBEL + RUA AFONSO ARINOS + ESTRADA DE PAU FERRO</t>
  </si>
  <si>
    <t>OITENTA</t>
  </si>
  <si>
    <t>RUA JOSÉ ANTÔNIO DE LUNA</t>
  </si>
  <si>
    <t>BAIRRO NOVO DO CARMELO</t>
  </si>
  <si>
    <t>SEGUNDA TRAVESSA JACUÍPE</t>
  </si>
  <si>
    <t>RUA COSTA E SILVA (TEM 2 TRECHOS SEPARADOS PELA AVENIDA)</t>
  </si>
  <si>
    <t>JARDIM PRIMAVERA</t>
  </si>
  <si>
    <t>RUA LOBATO</t>
  </si>
  <si>
    <t>RUA ELIAS PEREIRA / RUA CINCO</t>
  </si>
  <si>
    <t>RUA BERNARDO GUIMARÃES</t>
  </si>
  <si>
    <t>RUA MARIA DE SOUZA ARAÚJO</t>
  </si>
  <si>
    <t>CÉU AZUL</t>
  </si>
  <si>
    <t>RUA SÃO JOÃO DA BARRA</t>
  </si>
  <si>
    <t>ALBERTO MAIA</t>
  </si>
  <si>
    <t>RUA CAMPO SALES</t>
  </si>
  <si>
    <t>TOTAL GERAL</t>
  </si>
  <si>
    <t>TOTAL EM KM</t>
  </si>
  <si>
    <t xml:space="preserve">CRONOGRAMA DE ENTREGA DOS PROJETOS </t>
  </si>
  <si>
    <t>ESTUDOS/ PROJETO BÁSICO</t>
  </si>
  <si>
    <t>Entrega de 75% dos Estudos/ Projeto Básico</t>
  </si>
  <si>
    <t>Entrega de25% dos Estudos/ Projeto Básico</t>
  </si>
  <si>
    <t>Geotécnico</t>
  </si>
  <si>
    <t>Hidrológico</t>
  </si>
  <si>
    <t>PROJETOS EXECUTIVOS</t>
  </si>
  <si>
    <t>Geométrico</t>
  </si>
  <si>
    <t>Entrega dos Projetos Executivos de 5 (cinco) RUAS</t>
  </si>
  <si>
    <t>Entrega dos Projetos Executivos de 7 (sete) RUAS</t>
  </si>
  <si>
    <t>Entrega dos Projetos Executivos de 8 (oito) RUAS</t>
  </si>
  <si>
    <t>Drenagem</t>
  </si>
  <si>
    <t>Orçamento da Obra</t>
  </si>
  <si>
    <t>SECRETARIA DE INFRAESTRUTUTURA E SERVIÇOS PÚBLICOS</t>
  </si>
  <si>
    <t>COMPOSIÇÃO DO BDI</t>
  </si>
  <si>
    <t>ITEM COMPONENTE DO BDI</t>
  </si>
  <si>
    <t>TAXA</t>
  </si>
  <si>
    <t>ADMINISRAÇÃO CENTRAL</t>
  </si>
  <si>
    <t>AC</t>
  </si>
  <si>
    <t>RISCOS</t>
  </si>
  <si>
    <t>R</t>
  </si>
  <si>
    <t>SEGURO GARANTIA</t>
  </si>
  <si>
    <t>S+G</t>
  </si>
  <si>
    <t>DESPESAS FINACEIRAS</t>
  </si>
  <si>
    <t>DF</t>
  </si>
  <si>
    <t>LUCRO</t>
  </si>
  <si>
    <t>L</t>
  </si>
  <si>
    <t>TRIBUTOS (PIS+COFINS+ISS)</t>
  </si>
  <si>
    <t>I</t>
  </si>
  <si>
    <t>CONTRIBUIÇÃO PREVIDENCIÁRIA SOBRE RECEITA BRUTA (CPRB)</t>
  </si>
  <si>
    <t>BDI(%)</t>
  </si>
  <si>
    <t>Esta planilha foi elaborada conforme equação para cálculo do percentual do BDI recomendada pelo relatório do acórdão TCU – 2369/2011 e TCU – 2622/2013, conforme abaixo ilustrado.</t>
  </si>
</sst>
</file>

<file path=xl/styles.xml><?xml version="1.0" encoding="utf-8"?>
<styleSheet xmlns="http://schemas.openxmlformats.org/spreadsheetml/2006/main">
  <numFmts count="16">
    <numFmt numFmtId="176" formatCode="_(* #,##0.00_);_(* \(#,##0.00\);_(* \-??_);_(@_)"/>
    <numFmt numFmtId="177" formatCode="&quot;R$&quot;\ #,##0.00_);[Red]\(&quot;R$&quot;\ #,###.00\)"/>
    <numFmt numFmtId="178" formatCode="_-&quot;R$ &quot;* #,##0.00_-;&quot;-R$ &quot;* #,##0.00_-;_-&quot;R$ &quot;* \-??_-;_-@_-"/>
    <numFmt numFmtId="179" formatCode="_-&quot;R$&quot;\ * #,##0.00_-;\-&quot;R$&quot;\ * #,##0.00_-;_-&quot;R$&quot;\ * &quot;-&quot;??_-;_-@_-"/>
    <numFmt numFmtId="180" formatCode="* #,##0.00\ ;\-* #,##0.00\ ;* \-#\ ;@\ "/>
    <numFmt numFmtId="181" formatCode="[$-416]dddd\,d\ &quot;de&quot;\ mmmm\ &quot;de&quot;\ yyyy;@"/>
    <numFmt numFmtId="182" formatCode="_-* #,##0.00_-;\-* #,##0.00_-;_-* \-??_-;_-@_-"/>
    <numFmt numFmtId="183" formatCode="_-* #,##0_-;\-* #,##0_-;_-* &quot;-&quot;_-;_-@_-"/>
    <numFmt numFmtId="184" formatCode="_-&quot;R$&quot;\ * #,##0_-;\-&quot;R$&quot;\ * #,##0_-;_-&quot;R$&quot;\ * &quot;-&quot;_-;_-@_-"/>
    <numFmt numFmtId="185" formatCode="&quot;R$&quot;\ #,##0.00"/>
    <numFmt numFmtId="186" formatCode="* #,##0.00\ ;* \(#,##0.00\);* \-#\ ;@\ "/>
    <numFmt numFmtId="187" formatCode="_(* #,##0.00_);_(* \(#,##0.00\);_(* &quot;-&quot;??_);_(@_)"/>
    <numFmt numFmtId="188" formatCode="0_ "/>
    <numFmt numFmtId="189" formatCode="0.00_ "/>
    <numFmt numFmtId="190" formatCode="0.0_ "/>
    <numFmt numFmtId="191" formatCode="d/m/yy"/>
  </numFmts>
  <fonts count="51">
    <font>
      <sz val="11"/>
      <color rgb="FF000000"/>
      <name val="Calibri"/>
      <charset val="134"/>
    </font>
    <font>
      <sz val="10"/>
      <color rgb="FF000000"/>
      <name val="Times New Roman"/>
      <family val="1"/>
      <charset val="0"/>
    </font>
    <font>
      <b/>
      <sz val="16"/>
      <name val="Times New Roman"/>
      <family val="1"/>
      <charset val="0"/>
    </font>
    <font>
      <sz val="10"/>
      <name val="Times New Roman"/>
      <family val="1"/>
      <charset val="0"/>
    </font>
    <font>
      <sz val="12"/>
      <name val="Times New Roman"/>
      <family val="1"/>
      <charset val="0"/>
    </font>
    <font>
      <sz val="11"/>
      <name val="Times New Roman"/>
      <family val="1"/>
      <charset val="0"/>
    </font>
    <font>
      <b/>
      <sz val="12"/>
      <color rgb="FF000000"/>
      <name val="Times New Roman"/>
      <family val="1"/>
      <charset val="0"/>
    </font>
    <font>
      <sz val="12"/>
      <color rgb="FF000000"/>
      <name val="Times New Roman"/>
      <family val="1"/>
      <charset val="0"/>
    </font>
    <font>
      <sz val="12"/>
      <name val="Times New Roman"/>
      <charset val="134"/>
    </font>
    <font>
      <sz val="11"/>
      <color rgb="FF000000"/>
      <name val="Times New Roman"/>
      <charset val="134"/>
    </font>
    <font>
      <b/>
      <sz val="14"/>
      <name val="Times New Roman"/>
      <charset val="134"/>
    </font>
    <font>
      <b/>
      <sz val="12"/>
      <name val="Times New Roman"/>
      <charset val="134"/>
    </font>
    <font>
      <sz val="12"/>
      <color rgb="FF000000"/>
      <name val="Times New Roman"/>
      <charset val="1"/>
    </font>
    <font>
      <sz val="12"/>
      <color theme="1"/>
      <name val="Times New Roman"/>
      <charset val="134"/>
    </font>
    <font>
      <b/>
      <sz val="12"/>
      <name val="Times New Roman"/>
      <charset val="1"/>
    </font>
    <font>
      <b/>
      <sz val="16"/>
      <color theme="1"/>
      <name val="Times New Roman"/>
      <charset val="1"/>
    </font>
    <font>
      <b/>
      <sz val="12"/>
      <color rgb="FF000000"/>
      <name val="Times New Roman"/>
      <charset val="1"/>
    </font>
    <font>
      <sz val="12"/>
      <name val="Times New Roman"/>
      <charset val="0"/>
    </font>
    <font>
      <sz val="12"/>
      <color rgb="FFFF0000"/>
      <name val="Times New Roman"/>
      <charset val="1"/>
    </font>
    <font>
      <sz val="12"/>
      <color rgb="FF000000"/>
      <name val="Times New Roman"/>
      <charset val="134"/>
    </font>
    <font>
      <b/>
      <sz val="12"/>
      <name val="Times New Roman"/>
      <charset val="0"/>
    </font>
    <font>
      <u/>
      <sz val="11"/>
      <name val="Calibri"/>
      <charset val="0"/>
      <scheme val="minor"/>
    </font>
    <font>
      <sz val="11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b/>
      <sz val="12"/>
      <color rgb="FF000000"/>
      <name val="Times New Roman"/>
      <charset val="0"/>
    </font>
    <font>
      <sz val="12"/>
      <color rgb="FF000000"/>
      <name val="Times New Roman"/>
      <charset val="0"/>
    </font>
    <font>
      <b/>
      <sz val="11"/>
      <color rgb="FF000000"/>
      <name val="Calibri"/>
      <charset val="134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0"/>
      <name val="Arial"/>
      <charset val="134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1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0000"/>
      <name val="Calibri"/>
      <charset val="0"/>
    </font>
  </fonts>
  <fills count="4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4" tint="0.6"/>
        <bgColor rgb="FF808080"/>
      </patternFill>
    </fill>
    <fill>
      <patternFill patternType="solid">
        <fgColor theme="4" tint="0.4"/>
        <bgColor rgb="FFBFBFBF"/>
      </patternFill>
    </fill>
    <fill>
      <patternFill patternType="solid">
        <fgColor theme="4" tint="0.6"/>
        <bgColor rgb="FFBFBFBF"/>
      </patternFill>
    </fill>
    <fill>
      <patternFill patternType="solid">
        <fgColor theme="4" tint="0.4"/>
        <bgColor indexed="64"/>
      </patternFill>
    </fill>
    <fill>
      <patternFill patternType="solid">
        <fgColor theme="4" tint="0.6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4" tint="0.4"/>
        <bgColor rgb="FFFFFF00"/>
      </patternFill>
    </fill>
    <fill>
      <patternFill patternType="solid">
        <fgColor theme="4" tint="0.6"/>
        <bgColor rgb="FFFFFFCC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/>
    <xf numFmtId="182" fontId="0" fillId="0" borderId="0" applyBorder="0" applyProtection="0"/>
    <xf numFmtId="183" fontId="33" fillId="0" borderId="0" applyFont="0" applyFill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9" fontId="0" fillId="0" borderId="0" applyBorder="0" applyProtection="0"/>
    <xf numFmtId="0" fontId="37" fillId="0" borderId="52" applyNumberFormat="0" applyFill="0" applyAlignment="0" applyProtection="0">
      <alignment vertical="center"/>
    </xf>
    <xf numFmtId="0" fontId="31" fillId="16" borderId="50" applyNumberFormat="0" applyAlignment="0" applyProtection="0">
      <alignment vertical="center"/>
    </xf>
    <xf numFmtId="0" fontId="36" fillId="0" borderId="0"/>
    <xf numFmtId="184" fontId="33" fillId="0" borderId="0" applyFon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3" fillId="28" borderId="53" applyNumberFormat="0" applyFon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3" fillId="0" borderId="54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9" fillId="0" borderId="55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7" fillId="39" borderId="51" applyNumberFormat="0" applyAlignment="0" applyProtection="0">
      <alignment vertical="center"/>
    </xf>
    <xf numFmtId="0" fontId="49" fillId="17" borderId="57" applyNumberFormat="0" applyAlignment="0" applyProtection="0">
      <alignment vertical="center"/>
    </xf>
    <xf numFmtId="0" fontId="32" fillId="17" borderId="51" applyNumberFormat="0" applyAlignment="0" applyProtection="0">
      <alignment vertical="center"/>
    </xf>
    <xf numFmtId="0" fontId="46" fillId="0" borderId="56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182" fontId="0" fillId="0" borderId="0" applyBorder="0" applyProtection="0"/>
    <xf numFmtId="0" fontId="35" fillId="4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0" fillId="0" borderId="0"/>
    <xf numFmtId="0" fontId="35" fillId="2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178" fontId="36" fillId="0" borderId="0" applyBorder="0" applyProtection="0"/>
    <xf numFmtId="0" fontId="35" fillId="2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0" borderId="0"/>
    <xf numFmtId="9" fontId="0" fillId="0" borderId="0" applyBorder="0" applyProtection="0"/>
    <xf numFmtId="9" fontId="36" fillId="0" borderId="0" applyBorder="0" applyProtection="0"/>
    <xf numFmtId="176" fontId="50" fillId="0" borderId="0" applyBorder="0" applyProtection="0"/>
    <xf numFmtId="0" fontId="24" fillId="0" borderId="0"/>
    <xf numFmtId="9" fontId="30" fillId="0" borderId="0" applyFill="0" applyBorder="0" applyAlignment="0" applyProtection="0"/>
  </cellStyleXfs>
  <cellXfs count="397">
    <xf numFmtId="0" fontId="0" fillId="0" borderId="0" xfId="0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horizontal="center" vertical="center"/>
    </xf>
    <xf numFmtId="10" fontId="7" fillId="0" borderId="14" xfId="1" applyNumberFormat="1" applyFont="1" applyFill="1" applyBorder="1" applyAlignment="1">
      <alignment horizontal="center" vertical="center"/>
    </xf>
    <xf numFmtId="10" fontId="7" fillId="0" borderId="15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" fontId="6" fillId="0" borderId="14" xfId="1" applyNumberFormat="1" applyFont="1" applyFill="1" applyBorder="1" applyAlignment="1">
      <alignment horizontal="center" vertical="center"/>
    </xf>
    <xf numFmtId="2" fontId="6" fillId="0" borderId="15" xfId="1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justify"/>
    </xf>
    <xf numFmtId="0" fontId="7" fillId="2" borderId="0" xfId="0" applyFont="1" applyFill="1" applyBorder="1" applyAlignment="1">
      <alignment horizontal="center" vertical="justify"/>
    </xf>
    <xf numFmtId="0" fontId="7" fillId="2" borderId="17" xfId="0" applyFont="1" applyFill="1" applyBorder="1" applyAlignment="1">
      <alignment horizontal="center" vertical="justify"/>
    </xf>
    <xf numFmtId="0" fontId="1" fillId="2" borderId="16" xfId="0" applyFont="1" applyFill="1" applyBorder="1" applyAlignment="1">
      <alignment vertical="justify"/>
    </xf>
    <xf numFmtId="0" fontId="1" fillId="2" borderId="0" xfId="0" applyFont="1" applyFill="1" applyBorder="1" applyAlignment="1">
      <alignment vertical="justify"/>
    </xf>
    <xf numFmtId="0" fontId="1" fillId="2" borderId="17" xfId="0" applyFont="1" applyFill="1" applyBorder="1" applyAlignment="1">
      <alignment vertical="justify"/>
    </xf>
    <xf numFmtId="0" fontId="1" fillId="2" borderId="18" xfId="0" applyFont="1" applyFill="1" applyBorder="1" applyAlignment="1">
      <alignment vertical="justify"/>
    </xf>
    <xf numFmtId="0" fontId="1" fillId="2" borderId="19" xfId="0" applyFont="1" applyFill="1" applyBorder="1" applyAlignment="1">
      <alignment vertical="justify"/>
    </xf>
    <xf numFmtId="0" fontId="1" fillId="2" borderId="20" xfId="0" applyFont="1" applyFill="1" applyBorder="1" applyAlignment="1">
      <alignment vertical="justify"/>
    </xf>
    <xf numFmtId="0" fontId="1" fillId="0" borderId="0" xfId="0" applyFont="1" applyFill="1" applyBorder="1" applyAlignment="1"/>
    <xf numFmtId="0" fontId="6" fillId="0" borderId="0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9" fillId="0" borderId="0" xfId="0" applyFont="1"/>
    <xf numFmtId="177" fontId="8" fillId="0" borderId="0" xfId="0" applyNumberFormat="1" applyFont="1" applyFill="1" applyAlignment="1"/>
    <xf numFmtId="0" fontId="8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9" fontId="11" fillId="3" borderId="22" xfId="1" applyNumberFormat="1" applyFont="1" applyFill="1" applyBorder="1" applyAlignment="1">
      <alignment horizontal="center" vertical="center" wrapText="1"/>
    </xf>
    <xf numFmtId="49" fontId="11" fillId="3" borderId="23" xfId="1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49" fontId="11" fillId="3" borderId="7" xfId="1" applyNumberFormat="1" applyFont="1" applyFill="1" applyBorder="1" applyAlignment="1">
      <alignment horizontal="center" vertical="center" wrapText="1"/>
    </xf>
    <xf numFmtId="49" fontId="11" fillId="3" borderId="14" xfId="1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9" fontId="11" fillId="4" borderId="7" xfId="0" applyNumberFormat="1" applyFont="1" applyFill="1" applyBorder="1" applyAlignment="1">
      <alignment horizontal="center" vertical="center"/>
    </xf>
    <xf numFmtId="9" fontId="11" fillId="4" borderId="14" xfId="0" applyNumberFormat="1" applyFont="1" applyFill="1" applyBorder="1" applyAlignment="1">
      <alignment horizontal="center" vertical="center" wrapText="1"/>
    </xf>
    <xf numFmtId="49" fontId="11" fillId="4" borderId="14" xfId="1" applyNumberFormat="1" applyFont="1" applyFill="1" applyBorder="1" applyAlignment="1">
      <alignment horizontal="left" vertical="center" wrapText="1" indent="1"/>
    </xf>
    <xf numFmtId="185" fontId="8" fillId="5" borderId="14" xfId="0" applyNumberFormat="1" applyFont="1" applyFill="1" applyBorder="1" applyAlignment="1">
      <alignment horizontal="center" vertical="center" wrapText="1"/>
    </xf>
    <xf numFmtId="10" fontId="11" fillId="4" borderId="14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9" fontId="11" fillId="4" borderId="14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10" fontId="11" fillId="3" borderId="14" xfId="0" applyNumberFormat="1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9" fontId="11" fillId="3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/>
    <xf numFmtId="0" fontId="8" fillId="0" borderId="0" xfId="0" applyFont="1" applyFill="1" applyBorder="1" applyAlignment="1"/>
    <xf numFmtId="185" fontId="8" fillId="0" borderId="0" xfId="0" applyNumberFormat="1" applyFont="1" applyFill="1" applyBorder="1" applyAlignment="1"/>
    <xf numFmtId="0" fontId="8" fillId="0" borderId="2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9" fontId="9" fillId="0" borderId="27" xfId="4" applyFont="1" applyBorder="1" applyAlignment="1">
      <alignment horizontal="right"/>
    </xf>
    <xf numFmtId="9" fontId="9" fillId="0" borderId="5" xfId="4" applyFont="1" applyBorder="1" applyAlignment="1">
      <alignment horizontal="right"/>
    </xf>
    <xf numFmtId="10" fontId="8" fillId="0" borderId="0" xfId="0" applyNumberFormat="1" applyFont="1" applyFill="1" applyAlignment="1"/>
    <xf numFmtId="0" fontId="11" fillId="3" borderId="2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10" fontId="11" fillId="4" borderId="15" xfId="0" applyNumberFormat="1" applyFont="1" applyFill="1" applyBorder="1" applyAlignment="1">
      <alignment horizontal="center" vertical="center"/>
    </xf>
    <xf numFmtId="185" fontId="8" fillId="5" borderId="15" xfId="0" applyNumberFormat="1" applyFont="1" applyFill="1" applyBorder="1" applyAlignment="1">
      <alignment horizontal="center" vertical="center" wrapText="1"/>
    </xf>
    <xf numFmtId="10" fontId="11" fillId="3" borderId="15" xfId="0" applyNumberFormat="1" applyFont="1" applyFill="1" applyBorder="1" applyAlignment="1">
      <alignment horizontal="center" vertical="center"/>
    </xf>
    <xf numFmtId="9" fontId="11" fillId="3" borderId="2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/>
    <xf numFmtId="0" fontId="8" fillId="0" borderId="30" xfId="0" applyFont="1" applyFill="1" applyBorder="1" applyAlignment="1">
      <alignment horizontal="center"/>
    </xf>
    <xf numFmtId="9" fontId="9" fillId="0" borderId="31" xfId="4" applyFont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181" fontId="12" fillId="0" borderId="0" xfId="0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>
      <alignment horizontal="center"/>
    </xf>
    <xf numFmtId="181" fontId="16" fillId="0" borderId="14" xfId="0" applyNumberFormat="1" applyFont="1" applyFill="1" applyBorder="1" applyAlignment="1">
      <alignment horizontal="center" vertical="center"/>
    </xf>
    <xf numFmtId="181" fontId="12" fillId="0" borderId="14" xfId="0" applyNumberFormat="1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3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2" fontId="17" fillId="4" borderId="14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7" fillId="0" borderId="14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0" fontId="16" fillId="8" borderId="14" xfId="0" applyFont="1" applyFill="1" applyBorder="1" applyAlignment="1">
      <alignment horizontal="right" vertical="center"/>
    </xf>
    <xf numFmtId="0" fontId="16" fillId="8" borderId="14" xfId="0" applyFont="1" applyFill="1" applyBorder="1" applyAlignment="1">
      <alignment horizontal="center" vertical="center"/>
    </xf>
    <xf numFmtId="180" fontId="16" fillId="8" borderId="14" xfId="0" applyNumberFormat="1" applyFont="1" applyFill="1" applyBorder="1" applyAlignment="1">
      <alignment vertical="center"/>
    </xf>
    <xf numFmtId="180" fontId="16" fillId="8" borderId="14" xfId="1" applyNumberFormat="1" applyFont="1" applyFill="1" applyBorder="1" applyAlignment="1" applyProtection="1">
      <alignment horizontal="right" vertical="center"/>
    </xf>
    <xf numFmtId="0" fontId="16" fillId="9" borderId="14" xfId="0" applyFont="1" applyFill="1" applyBorder="1" applyAlignment="1">
      <alignment horizontal="right" vertical="center"/>
    </xf>
    <xf numFmtId="0" fontId="16" fillId="9" borderId="14" xfId="0" applyFont="1" applyFill="1" applyBorder="1" applyAlignment="1">
      <alignment horizontal="center" vertical="center"/>
    </xf>
    <xf numFmtId="180" fontId="16" fillId="9" borderId="14" xfId="0" applyNumberFormat="1" applyFont="1" applyFill="1" applyBorder="1" applyAlignment="1">
      <alignment vertic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0" xfId="0" applyFont="1" applyAlignment="1"/>
    <xf numFmtId="0" fontId="9" fillId="0" borderId="26" xfId="0" applyFont="1" applyBorder="1"/>
    <xf numFmtId="0" fontId="9" fillId="0" borderId="30" xfId="0" applyFont="1" applyBorder="1"/>
    <xf numFmtId="0" fontId="9" fillId="0" borderId="27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186" fontId="12" fillId="0" borderId="0" xfId="0" applyNumberFormat="1" applyFont="1" applyFill="1" applyBorder="1" applyAlignment="1"/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58" applyFont="1" applyAlignment="1" applyProtection="1">
      <alignment horizontal="center" vertical="center"/>
    </xf>
    <xf numFmtId="187" fontId="8" fillId="0" borderId="0" xfId="1" applyNumberFormat="1" applyFont="1" applyFill="1" applyBorder="1" applyAlignment="1">
      <alignment horizontal="right" wrapText="1"/>
    </xf>
    <xf numFmtId="187" fontId="11" fillId="0" borderId="21" xfId="1" applyNumberFormat="1" applyFont="1" applyFill="1" applyBorder="1" applyAlignment="1">
      <alignment horizontal="center" vertical="center" wrapText="1"/>
    </xf>
    <xf numFmtId="187" fontId="8" fillId="0" borderId="21" xfId="1" applyNumberFormat="1" applyFont="1" applyFill="1" applyBorder="1" applyAlignment="1">
      <alignment horizontal="left" vertical="center" wrapText="1"/>
    </xf>
    <xf numFmtId="49" fontId="11" fillId="3" borderId="1" xfId="1" applyNumberFormat="1" applyFont="1" applyFill="1" applyBorder="1" applyAlignment="1">
      <alignment horizontal="center" vertical="center" wrapText="1"/>
    </xf>
    <xf numFmtId="49" fontId="11" fillId="3" borderId="2" xfId="1" applyNumberFormat="1" applyFont="1" applyFill="1" applyBorder="1" applyAlignment="1">
      <alignment horizontal="center" vertical="center" wrapText="1"/>
    </xf>
    <xf numFmtId="49" fontId="11" fillId="3" borderId="36" xfId="1" applyNumberFormat="1" applyFont="1" applyFill="1" applyBorder="1" applyAlignment="1">
      <alignment horizontal="center" vertical="center" wrapText="1"/>
    </xf>
    <xf numFmtId="49" fontId="11" fillId="3" borderId="37" xfId="1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/>
    </xf>
    <xf numFmtId="49" fontId="11" fillId="3" borderId="16" xfId="1" applyNumberFormat="1" applyFont="1" applyFill="1" applyBorder="1" applyAlignment="1">
      <alignment horizontal="center" vertical="center" wrapText="1"/>
    </xf>
    <xf numFmtId="49" fontId="11" fillId="3" borderId="0" xfId="1" applyNumberFormat="1" applyFont="1" applyFill="1" applyBorder="1" applyAlignment="1">
      <alignment horizontal="center" vertical="center" wrapText="1"/>
    </xf>
    <xf numFmtId="49" fontId="11" fillId="3" borderId="30" xfId="1" applyNumberFormat="1" applyFont="1" applyFill="1" applyBorder="1" applyAlignment="1">
      <alignment horizontal="center" vertical="center" wrapText="1"/>
    </xf>
    <xf numFmtId="49" fontId="11" fillId="3" borderId="38" xfId="1" applyNumberFormat="1" applyFont="1" applyFill="1" applyBorder="1" applyAlignment="1">
      <alignment horizontal="center" vertical="center" wrapText="1"/>
    </xf>
    <xf numFmtId="49" fontId="11" fillId="3" borderId="18" xfId="1" applyNumberFormat="1" applyFont="1" applyFill="1" applyBorder="1" applyAlignment="1">
      <alignment horizontal="center" vertical="center" wrapText="1"/>
    </xf>
    <xf numFmtId="49" fontId="11" fillId="3" borderId="19" xfId="1" applyNumberFormat="1" applyFont="1" applyFill="1" applyBorder="1" applyAlignment="1">
      <alignment horizontal="center" vertical="center" wrapText="1"/>
    </xf>
    <xf numFmtId="49" fontId="11" fillId="3" borderId="39" xfId="1" applyNumberFormat="1" applyFont="1" applyFill="1" applyBorder="1" applyAlignment="1">
      <alignment horizontal="center" vertical="center" wrapText="1"/>
    </xf>
    <xf numFmtId="49" fontId="11" fillId="3" borderId="40" xfId="1" applyNumberFormat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9" fontId="11" fillId="4" borderId="12" xfId="0" applyNumberFormat="1" applyFont="1" applyFill="1" applyBorder="1" applyAlignment="1">
      <alignment horizontal="center" vertical="center"/>
    </xf>
    <xf numFmtId="9" fontId="11" fillId="4" borderId="30" xfId="0" applyNumberFormat="1" applyFont="1" applyFill="1" applyBorder="1" applyAlignment="1">
      <alignment horizontal="center" vertical="center"/>
    </xf>
    <xf numFmtId="49" fontId="11" fillId="4" borderId="13" xfId="1" applyNumberFormat="1" applyFont="1" applyFill="1" applyBorder="1" applyAlignment="1">
      <alignment horizontal="left" vertical="center" wrapText="1" indent="1"/>
    </xf>
    <xf numFmtId="9" fontId="11" fillId="4" borderId="13" xfId="1" applyNumberFormat="1" applyFont="1" applyFill="1" applyBorder="1" applyAlignment="1">
      <alignment horizontal="center" vertical="center" wrapText="1"/>
    </xf>
    <xf numFmtId="185" fontId="8" fillId="4" borderId="13" xfId="0" applyNumberFormat="1" applyFont="1" applyFill="1" applyBorder="1" applyAlignment="1">
      <alignment horizontal="center" vertical="center"/>
    </xf>
    <xf numFmtId="10" fontId="11" fillId="4" borderId="13" xfId="0" applyNumberFormat="1" applyFont="1" applyFill="1" applyBorder="1" applyAlignment="1">
      <alignment horizontal="center" vertical="center"/>
    </xf>
    <xf numFmtId="9" fontId="11" fillId="4" borderId="14" xfId="1" applyNumberFormat="1" applyFont="1" applyFill="1" applyBorder="1" applyAlignment="1">
      <alignment horizontal="center" vertical="center" wrapText="1"/>
    </xf>
    <xf numFmtId="9" fontId="11" fillId="4" borderId="35" xfId="0" applyNumberFormat="1" applyFont="1" applyFill="1" applyBorder="1" applyAlignment="1">
      <alignment horizontal="center" vertical="center"/>
    </xf>
    <xf numFmtId="185" fontId="8" fillId="4" borderId="14" xfId="0" applyNumberFormat="1" applyFont="1" applyFill="1" applyBorder="1" applyAlignment="1">
      <alignment horizontal="center" vertical="center"/>
    </xf>
    <xf numFmtId="9" fontId="11" fillId="4" borderId="41" xfId="0" applyNumberFormat="1" applyFont="1" applyFill="1" applyBorder="1" applyAlignment="1">
      <alignment horizontal="center" vertical="center"/>
    </xf>
    <xf numFmtId="49" fontId="11" fillId="4" borderId="21" xfId="1" applyNumberFormat="1" applyFont="1" applyFill="1" applyBorder="1" applyAlignment="1">
      <alignment horizontal="left" vertical="center" wrapText="1" inden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10" fontId="11" fillId="3" borderId="21" xfId="0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10" fontId="11" fillId="3" borderId="40" xfId="0" applyNumberFormat="1" applyFont="1" applyFill="1" applyBorder="1" applyAlignment="1">
      <alignment horizontal="center" vertical="center"/>
    </xf>
    <xf numFmtId="177" fontId="11" fillId="3" borderId="25" xfId="0" applyNumberFormat="1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8" fillId="4" borderId="27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right"/>
    </xf>
    <xf numFmtId="185" fontId="8" fillId="0" borderId="0" xfId="0" applyNumberFormat="1" applyFont="1" applyFill="1" applyAlignment="1"/>
    <xf numFmtId="9" fontId="0" fillId="0" borderId="0" xfId="4"/>
    <xf numFmtId="177" fontId="8" fillId="0" borderId="0" xfId="0" applyNumberFormat="1" applyFont="1" applyFill="1" applyAlignment="1">
      <alignment vertical="center"/>
    </xf>
    <xf numFmtId="0" fontId="11" fillId="3" borderId="37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185" fontId="11" fillId="4" borderId="14" xfId="0" applyNumberFormat="1" applyFont="1" applyFill="1" applyBorder="1" applyAlignment="1">
      <alignment horizontal="center" vertical="center"/>
    </xf>
    <xf numFmtId="185" fontId="11" fillId="4" borderId="44" xfId="0" applyNumberFormat="1" applyFont="1" applyFill="1" applyBorder="1" applyAlignment="1">
      <alignment horizontal="center" vertical="center"/>
    </xf>
    <xf numFmtId="9" fontId="0" fillId="0" borderId="0" xfId="4" applyNumberFormat="1"/>
    <xf numFmtId="185" fontId="11" fillId="4" borderId="46" xfId="0" applyNumberFormat="1" applyFont="1" applyFill="1" applyBorder="1" applyAlignment="1">
      <alignment horizontal="center" vertical="center"/>
    </xf>
    <xf numFmtId="185" fontId="11" fillId="4" borderId="47" xfId="0" applyNumberFormat="1" applyFont="1" applyFill="1" applyBorder="1" applyAlignment="1">
      <alignment horizontal="center" vertical="center"/>
    </xf>
    <xf numFmtId="185" fontId="11" fillId="4" borderId="15" xfId="0" applyNumberFormat="1" applyFont="1" applyFill="1" applyBorder="1" applyAlignment="1">
      <alignment horizontal="center" vertical="center"/>
    </xf>
    <xf numFmtId="177" fontId="11" fillId="3" borderId="33" xfId="0" applyNumberFormat="1" applyFont="1" applyFill="1" applyBorder="1" applyAlignment="1">
      <alignment horizontal="center" vertical="center"/>
    </xf>
    <xf numFmtId="177" fontId="11" fillId="3" borderId="48" xfId="0" applyNumberFormat="1" applyFont="1" applyFill="1" applyBorder="1" applyAlignment="1">
      <alignment horizontal="center" vertical="center"/>
    </xf>
    <xf numFmtId="177" fontId="11" fillId="3" borderId="49" xfId="0" applyNumberFormat="1" applyFont="1" applyFill="1" applyBorder="1" applyAlignment="1">
      <alignment horizontal="center" vertical="center"/>
    </xf>
    <xf numFmtId="177" fontId="11" fillId="3" borderId="20" xfId="0" applyNumberFormat="1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wrapText="1"/>
    </xf>
    <xf numFmtId="0" fontId="8" fillId="4" borderId="31" xfId="0" applyFont="1" applyFill="1" applyBorder="1" applyAlignment="1">
      <alignment horizontal="right"/>
    </xf>
    <xf numFmtId="188" fontId="8" fillId="0" borderId="0" xfId="0" applyNumberFormat="1" applyFont="1" applyFill="1" applyAlignment="1"/>
    <xf numFmtId="0" fontId="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 wrapText="1"/>
    </xf>
    <xf numFmtId="177" fontId="17" fillId="0" borderId="14" xfId="0" applyNumberFormat="1" applyFont="1" applyFill="1" applyBorder="1" applyAlignment="1" applyProtection="1">
      <alignment vertical="center" wrapText="1"/>
    </xf>
    <xf numFmtId="177" fontId="20" fillId="0" borderId="14" xfId="0" applyNumberFormat="1" applyFont="1" applyFill="1" applyBorder="1" applyAlignment="1">
      <alignment horizontal="center" vertical="center" wrapText="1"/>
    </xf>
    <xf numFmtId="10" fontId="20" fillId="6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 applyProtection="1">
      <alignment horizontal="left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177" fontId="17" fillId="0" borderId="14" xfId="0" applyNumberFormat="1" applyFont="1" applyFill="1" applyBorder="1" applyAlignment="1" applyProtection="1">
      <alignment horizontal="center" vertical="center" wrapText="1"/>
    </xf>
    <xf numFmtId="177" fontId="17" fillId="0" borderId="14" xfId="0" applyNumberFormat="1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187" fontId="11" fillId="3" borderId="14" xfId="1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177" fontId="8" fillId="0" borderId="14" xfId="1" applyNumberFormat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177" fontId="11" fillId="3" borderId="8" xfId="0" applyNumberFormat="1" applyFont="1" applyFill="1" applyBorder="1" applyAlignment="1">
      <alignment horizontal="center" vertical="center"/>
    </xf>
    <xf numFmtId="177" fontId="11" fillId="3" borderId="32" xfId="0" applyNumberFormat="1" applyFont="1" applyFill="1" applyBorder="1" applyAlignment="1">
      <alignment vertical="center"/>
    </xf>
    <xf numFmtId="0" fontId="11" fillId="10" borderId="14" xfId="0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177" fontId="8" fillId="0" borderId="21" xfId="1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21" fillId="0" borderId="14" xfId="12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 indent="1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9" fillId="0" borderId="2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0" xfId="0" applyFont="1" applyBorder="1" applyAlignment="1">
      <alignment horizontal="center"/>
    </xf>
    <xf numFmtId="0" fontId="19" fillId="0" borderId="30" xfId="0" applyFont="1" applyBorder="1"/>
    <xf numFmtId="177" fontId="2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17" fillId="0" borderId="32" xfId="0" applyFont="1" applyFill="1" applyBorder="1" applyAlignment="1" applyProtection="1">
      <alignment horizontal="left" vertical="center" wrapText="1"/>
    </xf>
    <xf numFmtId="10" fontId="20" fillId="6" borderId="0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17" fillId="0" borderId="32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2" fillId="6" borderId="14" xfId="47" applyFont="1" applyFill="1" applyBorder="1" applyAlignment="1">
      <alignment horizontal="left" vertical="center"/>
    </xf>
    <xf numFmtId="0" fontId="22" fillId="6" borderId="14" xfId="47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82" fontId="8" fillId="0" borderId="14" xfId="1" applyFont="1" applyBorder="1" applyAlignment="1" applyProtection="1">
      <alignment horizontal="center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22" fillId="6" borderId="14" xfId="47" applyFont="1" applyFill="1" applyBorder="1" applyAlignment="1">
      <alignment horizontal="left" vertical="center" wrapText="1"/>
    </xf>
    <xf numFmtId="0" fontId="22" fillId="6" borderId="14" xfId="47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left" vertical="center"/>
    </xf>
    <xf numFmtId="176" fontId="8" fillId="0" borderId="14" xfId="0" applyNumberFormat="1" applyFont="1" applyBorder="1" applyAlignment="1">
      <alignment horizontal="center" vertical="center" wrapText="1"/>
    </xf>
    <xf numFmtId="0" fontId="22" fillId="6" borderId="8" xfId="47" applyFont="1" applyFill="1" applyBorder="1" applyAlignment="1">
      <alignment horizontal="center" vertical="center" wrapText="1"/>
    </xf>
    <xf numFmtId="0" fontId="22" fillId="6" borderId="9" xfId="47" applyFont="1" applyFill="1" applyBorder="1" applyAlignment="1">
      <alignment horizontal="center" vertical="center" wrapText="1"/>
    </xf>
    <xf numFmtId="0" fontId="22" fillId="6" borderId="32" xfId="47" applyFont="1" applyFill="1" applyBorder="1" applyAlignment="1">
      <alignment horizontal="center" vertical="center" wrapText="1"/>
    </xf>
    <xf numFmtId="0" fontId="8" fillId="6" borderId="14" xfId="47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33" xfId="0" applyFont="1" applyBorder="1"/>
    <xf numFmtId="0" fontId="9" fillId="0" borderId="34" xfId="0" applyFont="1" applyBorder="1"/>
    <xf numFmtId="0" fontId="9" fillId="0" borderId="35" xfId="0" applyFont="1" applyBorder="1"/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/>
    <xf numFmtId="0" fontId="23" fillId="0" borderId="14" xfId="0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0" fontId="9" fillId="0" borderId="14" xfId="0" applyFont="1" applyBorder="1"/>
    <xf numFmtId="0" fontId="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177" fontId="19" fillId="0" borderId="0" xfId="0" applyNumberFormat="1" applyFont="1" applyAlignment="1">
      <alignment horizontal="center"/>
    </xf>
    <xf numFmtId="177" fontId="19" fillId="0" borderId="0" xfId="0" applyNumberFormat="1" applyFont="1"/>
    <xf numFmtId="177" fontId="20" fillId="0" borderId="0" xfId="0" applyNumberFormat="1" applyFont="1" applyFill="1" applyBorder="1" applyAlignment="1">
      <alignment horizontal="center"/>
    </xf>
    <xf numFmtId="177" fontId="20" fillId="0" borderId="0" xfId="0" applyNumberFormat="1" applyFont="1" applyFill="1" applyBorder="1" applyAlignment="1">
      <alignment horizontal="center" vertical="center"/>
    </xf>
    <xf numFmtId="0" fontId="25" fillId="10" borderId="8" xfId="0" applyFont="1" applyFill="1" applyBorder="1" applyAlignment="1">
      <alignment horizontal="center" vertical="center"/>
    </xf>
    <xf numFmtId="0" fontId="25" fillId="10" borderId="9" xfId="0" applyFont="1" applyFill="1" applyBorder="1" applyAlignment="1">
      <alignment horizontal="center" vertical="center"/>
    </xf>
    <xf numFmtId="177" fontId="20" fillId="0" borderId="14" xfId="0" applyNumberFormat="1" applyFont="1" applyFill="1" applyBorder="1" applyAlignment="1" applyProtection="1">
      <alignment horizontal="center" vertical="center"/>
    </xf>
    <xf numFmtId="177" fontId="20" fillId="6" borderId="14" xfId="0" applyNumberFormat="1" applyFont="1" applyFill="1" applyBorder="1" applyAlignment="1" applyProtection="1">
      <alignment horizontal="center" vertical="center"/>
    </xf>
    <xf numFmtId="0" fontId="20" fillId="3" borderId="14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left" vertical="center"/>
    </xf>
    <xf numFmtId="177" fontId="17" fillId="3" borderId="14" xfId="0" applyNumberFormat="1" applyFont="1" applyFill="1" applyBorder="1" applyAlignment="1" applyProtection="1">
      <alignment horizontal="left" vertical="center"/>
    </xf>
    <xf numFmtId="49" fontId="17" fillId="0" borderId="14" xfId="0" applyNumberFormat="1" applyFont="1" applyFill="1" applyBorder="1" applyAlignment="1" applyProtection="1">
      <alignment horizontal="center" vertical="center"/>
    </xf>
    <xf numFmtId="0" fontId="8" fillId="6" borderId="14" xfId="47" applyFont="1" applyFill="1" applyBorder="1" applyAlignment="1">
      <alignment horizontal="center" vertical="center"/>
    </xf>
    <xf numFmtId="0" fontId="8" fillId="6" borderId="14" xfId="47" applyFont="1" applyFill="1" applyBorder="1" applyAlignment="1">
      <alignment horizontal="left" vertical="center"/>
    </xf>
    <xf numFmtId="177" fontId="8" fillId="6" borderId="14" xfId="1" applyNumberFormat="1" applyFont="1" applyFill="1" applyBorder="1" applyAlignment="1" applyProtection="1">
      <alignment horizontal="center" vertical="center"/>
    </xf>
    <xf numFmtId="177" fontId="17" fillId="6" borderId="14" xfId="0" applyNumberFormat="1" applyFont="1" applyFill="1" applyBorder="1" applyAlignment="1">
      <alignment horizontal="center" vertical="center"/>
    </xf>
    <xf numFmtId="49" fontId="25" fillId="11" borderId="14" xfId="0" applyNumberFormat="1" applyFont="1" applyFill="1" applyBorder="1" applyAlignment="1">
      <alignment horizontal="center" vertical="center"/>
    </xf>
    <xf numFmtId="0" fontId="26" fillId="11" borderId="14" xfId="0" applyFont="1" applyFill="1" applyBorder="1" applyAlignment="1">
      <alignment horizontal="left" vertical="center"/>
    </xf>
    <xf numFmtId="177" fontId="26" fillId="11" borderId="14" xfId="0" applyNumberFormat="1" applyFont="1" applyFill="1" applyBorder="1" applyAlignment="1">
      <alignment horizontal="left" vertical="center"/>
    </xf>
    <xf numFmtId="49" fontId="26" fillId="0" borderId="14" xfId="0" applyNumberFormat="1" applyFont="1" applyFill="1" applyBorder="1" applyAlignment="1">
      <alignment horizontal="center" vertical="center"/>
    </xf>
    <xf numFmtId="189" fontId="8" fillId="6" borderId="14" xfId="47" applyNumberFormat="1" applyFont="1" applyFill="1" applyBorder="1" applyAlignment="1">
      <alignment horizontal="center" vertical="center"/>
    </xf>
    <xf numFmtId="49" fontId="25" fillId="3" borderId="14" xfId="0" applyNumberFormat="1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left" vertical="center"/>
    </xf>
    <xf numFmtId="177" fontId="26" fillId="3" borderId="14" xfId="0" applyNumberFormat="1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center" vertical="center"/>
    </xf>
    <xf numFmtId="190" fontId="8" fillId="6" borderId="14" xfId="47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/>
    </xf>
    <xf numFmtId="0" fontId="25" fillId="10" borderId="8" xfId="0" applyFont="1" applyFill="1" applyBorder="1" applyAlignment="1">
      <alignment horizontal="right" vertical="center"/>
    </xf>
    <xf numFmtId="0" fontId="25" fillId="10" borderId="9" xfId="0" applyFont="1" applyFill="1" applyBorder="1" applyAlignment="1">
      <alignment horizontal="right" vertical="center"/>
    </xf>
    <xf numFmtId="0" fontId="25" fillId="10" borderId="32" xfId="0" applyFont="1" applyFill="1" applyBorder="1" applyAlignment="1">
      <alignment horizontal="right" vertical="center"/>
    </xf>
    <xf numFmtId="0" fontId="25" fillId="3" borderId="8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177" fontId="17" fillId="6" borderId="8" xfId="0" applyNumberFormat="1" applyFont="1" applyFill="1" applyBorder="1" applyAlignment="1">
      <alignment horizontal="center" vertical="center"/>
    </xf>
    <xf numFmtId="0" fontId="8" fillId="6" borderId="8" xfId="47" applyFont="1" applyFill="1" applyBorder="1" applyAlignment="1">
      <alignment horizontal="center" vertical="center" wrapText="1"/>
    </xf>
    <xf numFmtId="0" fontId="8" fillId="6" borderId="32" xfId="47" applyFont="1" applyFill="1" applyBorder="1" applyAlignment="1">
      <alignment horizontal="center" vertical="center" wrapText="1"/>
    </xf>
    <xf numFmtId="0" fontId="8" fillId="6" borderId="14" xfId="47" applyFont="1" applyFill="1" applyBorder="1" applyAlignment="1">
      <alignment horizontal="center" vertical="center" wrapText="1"/>
    </xf>
    <xf numFmtId="177" fontId="8" fillId="6" borderId="8" xfId="47" applyNumberFormat="1" applyFont="1" applyFill="1" applyBorder="1" applyAlignment="1">
      <alignment horizontal="center" vertical="center"/>
    </xf>
    <xf numFmtId="177" fontId="8" fillId="6" borderId="32" xfId="47" applyNumberFormat="1" applyFont="1" applyFill="1" applyBorder="1" applyAlignment="1">
      <alignment horizontal="center" vertical="center"/>
    </xf>
    <xf numFmtId="182" fontId="20" fillId="12" borderId="8" xfId="0" applyNumberFormat="1" applyFont="1" applyFill="1" applyBorder="1" applyAlignment="1">
      <alignment horizontal="center" vertical="center"/>
    </xf>
    <xf numFmtId="182" fontId="20" fillId="12" borderId="9" xfId="0" applyNumberFormat="1" applyFont="1" applyFill="1" applyBorder="1" applyAlignment="1">
      <alignment horizontal="center" vertical="center"/>
    </xf>
    <xf numFmtId="177" fontId="20" fillId="12" borderId="9" xfId="0" applyNumberFormat="1" applyFont="1" applyFill="1" applyBorder="1" applyAlignment="1">
      <alignment horizontal="center" vertical="center"/>
    </xf>
    <xf numFmtId="182" fontId="20" fillId="13" borderId="8" xfId="0" applyNumberFormat="1" applyFont="1" applyFill="1" applyBorder="1" applyAlignment="1">
      <alignment horizontal="right" vertical="center"/>
    </xf>
    <xf numFmtId="182" fontId="20" fillId="13" borderId="9" xfId="0" applyNumberFormat="1" applyFont="1" applyFill="1" applyBorder="1" applyAlignment="1">
      <alignment horizontal="right" vertical="center"/>
    </xf>
    <xf numFmtId="177" fontId="20" fillId="13" borderId="9" xfId="0" applyNumberFormat="1" applyFont="1" applyFill="1" applyBorder="1" applyAlignment="1">
      <alignment horizontal="right" vertical="center"/>
    </xf>
    <xf numFmtId="177" fontId="20" fillId="13" borderId="32" xfId="0" applyNumberFormat="1" applyFont="1" applyFill="1" applyBorder="1" applyAlignment="1">
      <alignment horizontal="right" vertical="center"/>
    </xf>
    <xf numFmtId="191" fontId="26" fillId="4" borderId="21" xfId="0" applyNumberFormat="1" applyFont="1" applyFill="1" applyBorder="1" applyAlignment="1">
      <alignment horizontal="center" vertical="center" wrapText="1"/>
    </xf>
    <xf numFmtId="178" fontId="20" fillId="4" borderId="21" xfId="57" applyNumberFormat="1" applyFont="1" applyFill="1" applyBorder="1" applyAlignment="1" applyProtection="1">
      <alignment horizontal="center" vertical="center"/>
    </xf>
    <xf numFmtId="177" fontId="20" fillId="4" borderId="21" xfId="57" applyNumberFormat="1" applyFont="1" applyFill="1" applyBorder="1" applyAlignment="1" applyProtection="1">
      <alignment horizontal="center" vertical="center"/>
    </xf>
    <xf numFmtId="191" fontId="26" fillId="4" borderId="33" xfId="0" applyNumberFormat="1" applyFont="1" applyFill="1" applyBorder="1" applyAlignment="1">
      <alignment horizontal="center" wrapText="1"/>
    </xf>
    <xf numFmtId="191" fontId="26" fillId="4" borderId="34" xfId="0" applyNumberFormat="1" applyFont="1" applyFill="1" applyBorder="1" applyAlignment="1">
      <alignment horizontal="center" wrapText="1"/>
    </xf>
    <xf numFmtId="177" fontId="26" fillId="4" borderId="34" xfId="0" applyNumberFormat="1" applyFont="1" applyFill="1" applyBorder="1" applyAlignment="1">
      <alignment horizontal="center" wrapText="1"/>
    </xf>
    <xf numFmtId="0" fontId="17" fillId="4" borderId="26" xfId="18" applyNumberFormat="1" applyFont="1" applyFill="1" applyBorder="1" applyAlignment="1" applyProtection="1">
      <alignment horizontal="center" vertical="center" wrapText="1"/>
      <protection locked="0"/>
    </xf>
    <xf numFmtId="0" fontId="17" fillId="4" borderId="0" xfId="18" applyNumberFormat="1" applyFont="1" applyFill="1" applyBorder="1" applyAlignment="1" applyProtection="1">
      <alignment horizontal="center" vertical="center" wrapText="1"/>
      <protection locked="0"/>
    </xf>
    <xf numFmtId="177" fontId="17" fillId="4" borderId="0" xfId="18" applyNumberFormat="1" applyFont="1" applyFill="1" applyBorder="1" applyAlignment="1" applyProtection="1">
      <alignment horizontal="center" vertical="center" wrapText="1"/>
      <protection locked="0"/>
    </xf>
    <xf numFmtId="0" fontId="17" fillId="4" borderId="27" xfId="0" applyFont="1" applyFill="1" applyBorder="1" applyAlignment="1">
      <alignment horizontal="right"/>
    </xf>
    <xf numFmtId="0" fontId="26" fillId="4" borderId="5" xfId="0" applyFont="1" applyFill="1" applyBorder="1" applyAlignment="1">
      <alignment horizontal="right"/>
    </xf>
    <xf numFmtId="177" fontId="26" fillId="4" borderId="5" xfId="0" applyNumberFormat="1" applyFont="1" applyFill="1" applyBorder="1" applyAlignment="1">
      <alignment horizontal="right"/>
    </xf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justify"/>
    </xf>
    <xf numFmtId="177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/>
    </xf>
    <xf numFmtId="10" fontId="27" fillId="0" borderId="14" xfId="4" applyNumberFormat="1" applyFont="1" applyFill="1" applyBorder="1" applyAlignment="1">
      <alignment horizontal="center" vertical="center"/>
    </xf>
    <xf numFmtId="0" fontId="25" fillId="10" borderId="32" xfId="0" applyFont="1" applyFill="1" applyBorder="1" applyAlignment="1">
      <alignment horizontal="center" vertical="center"/>
    </xf>
    <xf numFmtId="177" fontId="17" fillId="3" borderId="14" xfId="0" applyNumberFormat="1" applyFont="1" applyFill="1" applyBorder="1" applyAlignment="1" applyProtection="1">
      <alignment horizontal="center" vertical="center"/>
    </xf>
    <xf numFmtId="177" fontId="17" fillId="14" borderId="14" xfId="0" applyNumberFormat="1" applyFont="1" applyFill="1" applyBorder="1" applyAlignment="1">
      <alignment horizontal="center" vertical="center"/>
    </xf>
    <xf numFmtId="177" fontId="20" fillId="13" borderId="14" xfId="0" applyNumberFormat="1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 wrapText="1"/>
    </xf>
    <xf numFmtId="177" fontId="25" fillId="4" borderId="32" xfId="0" applyNumberFormat="1" applyFont="1" applyFill="1" applyBorder="1" applyAlignment="1">
      <alignment horizontal="center" vertical="center"/>
    </xf>
    <xf numFmtId="177" fontId="17" fillId="12" borderId="14" xfId="0" applyNumberFormat="1" applyFont="1" applyFill="1" applyBorder="1" applyAlignment="1">
      <alignment horizontal="center" vertical="center"/>
    </xf>
    <xf numFmtId="177" fontId="20" fillId="12" borderId="32" xfId="0" applyNumberFormat="1" applyFont="1" applyFill="1" applyBorder="1" applyAlignment="1">
      <alignment horizontal="center" vertical="center"/>
    </xf>
    <xf numFmtId="177" fontId="26" fillId="4" borderId="35" xfId="0" applyNumberFormat="1" applyFont="1" applyFill="1" applyBorder="1" applyAlignment="1">
      <alignment horizontal="center" wrapText="1"/>
    </xf>
    <xf numFmtId="177" fontId="17" fillId="4" borderId="30" xfId="18" applyNumberFormat="1" applyFont="1" applyFill="1" applyBorder="1" applyAlignment="1" applyProtection="1">
      <alignment horizontal="center" vertical="center" wrapText="1"/>
      <protection locked="0"/>
    </xf>
    <xf numFmtId="177" fontId="26" fillId="4" borderId="31" xfId="0" applyNumberFormat="1" applyFont="1" applyFill="1" applyBorder="1" applyAlignment="1">
      <alignment horizontal="right"/>
    </xf>
    <xf numFmtId="177" fontId="26" fillId="0" borderId="0" xfId="0" applyNumberFormat="1" applyFont="1" applyFill="1" applyBorder="1" applyAlignment="1"/>
  </cellXfs>
  <cellStyles count="60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Normal 5" xfId="7"/>
    <cellStyle name="Moeda [0]" xfId="8" builtinId="7"/>
    <cellStyle name="20% - Ênfase 3" xfId="9" builtinId="38"/>
    <cellStyle name="Moeda" xfId="10" builtinId="4"/>
    <cellStyle name="Hyperlink seguido" xfId="11" builtinId="9"/>
    <cellStyle name="Hyperlink" xfId="12" builtinId="8"/>
    <cellStyle name="40% - Ênfase 2" xfId="13" builtinId="35"/>
    <cellStyle name="Observação" xfId="14" builtinId="10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Separador de milhares 2 3" xfId="35"/>
    <cellStyle name="20% - Ênfase 5" xfId="36" builtinId="46"/>
    <cellStyle name="Ênfase 1" xfId="37" builtinId="29"/>
    <cellStyle name="Normal 11 10" xfId="38"/>
    <cellStyle name="20% - Ênfase 1" xfId="39" builtinId="30"/>
    <cellStyle name="60% - Ênfase 1" xfId="40" builtinId="32"/>
    <cellStyle name="Moeda 3" xfId="41"/>
    <cellStyle name="20% - Ênfase 6" xfId="42" builtinId="50"/>
    <cellStyle name="Ênfase 2" xfId="43" builtinId="33"/>
    <cellStyle name="20% - Ênfase 2" xfId="44" builtinId="34"/>
    <cellStyle name="60% - Ênfase 2" xfId="45" builtinId="36"/>
    <cellStyle name="40% - Ênfase 3" xfId="46" builtinId="39"/>
    <cellStyle name="Excel Built-in Normal" xfId="47"/>
    <cellStyle name="60% - Ênfase 3" xfId="48" builtinId="40"/>
    <cellStyle name="20% - Ênfase 4" xfId="49" builtinId="42"/>
    <cellStyle name="60% - Ênfase 4" xfId="50" builtinId="44"/>
    <cellStyle name="40% - Ênfase 5" xfId="51" builtinId="47"/>
    <cellStyle name="60% - Ênfase 5" xfId="52" builtinId="48"/>
    <cellStyle name="60% - Ênfase 6" xfId="53" builtinId="52"/>
    <cellStyle name="Normal 2 2" xfId="54"/>
    <cellStyle name="Porcentagem 2 2" xfId="55"/>
    <cellStyle name="Porcentagem 3" xfId="56"/>
    <cellStyle name="Estilo 4" xfId="57"/>
    <cellStyle name="Normal_BR232PE ED 002-DEMO LOTE I" xfId="58"/>
    <cellStyle name="Porcentagem 31 2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1181735</xdr:colOff>
      <xdr:row>0</xdr:row>
      <xdr:rowOff>67945</xdr:rowOff>
    </xdr:from>
    <xdr:to>
      <xdr:col>5</xdr:col>
      <xdr:colOff>164465</xdr:colOff>
      <xdr:row>0</xdr:row>
      <xdr:rowOff>815340</xdr:rowOff>
    </xdr:to>
    <xdr:pic>
      <xdr:nvPicPr>
        <xdr:cNvPr id="3" name="Imagem 2"/>
        <xdr:cNvPicPr/>
      </xdr:nvPicPr>
      <xdr:blipFill>
        <a:blip r:embed="rId1"/>
        <a:stretch>
          <a:fillRect/>
        </a:stretch>
      </xdr:blipFill>
      <xdr:spPr>
        <a:xfrm>
          <a:off x="3715385" y="67945"/>
          <a:ext cx="2011680" cy="7473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409575</xdr:colOff>
      <xdr:row>0</xdr:row>
      <xdr:rowOff>88900</xdr:rowOff>
    </xdr:from>
    <xdr:to>
      <xdr:col>3</xdr:col>
      <xdr:colOff>88265</xdr:colOff>
      <xdr:row>0</xdr:row>
      <xdr:rowOff>694055</xdr:rowOff>
    </xdr:to>
    <xdr:pic>
      <xdr:nvPicPr>
        <xdr:cNvPr id="2" name="Imagem 1"/>
        <xdr:cNvPicPr/>
      </xdr:nvPicPr>
      <xdr:blipFill>
        <a:blip r:embed="rId1"/>
        <a:stretch>
          <a:fillRect/>
        </a:stretch>
      </xdr:blipFill>
      <xdr:spPr>
        <a:xfrm>
          <a:off x="2381250" y="88900"/>
          <a:ext cx="1450340" cy="6051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705485</xdr:colOff>
      <xdr:row>0</xdr:row>
      <xdr:rowOff>95885</xdr:rowOff>
    </xdr:from>
    <xdr:to>
      <xdr:col>4</xdr:col>
      <xdr:colOff>479425</xdr:colOff>
      <xdr:row>0</xdr:row>
      <xdr:rowOff>701040</xdr:rowOff>
    </xdr:to>
    <xdr:pic>
      <xdr:nvPicPr>
        <xdr:cNvPr id="3" name="Imagem 2"/>
        <xdr:cNvPicPr/>
      </xdr:nvPicPr>
      <xdr:blipFill>
        <a:blip r:embed="rId1"/>
        <a:stretch>
          <a:fillRect/>
        </a:stretch>
      </xdr:blipFill>
      <xdr:spPr>
        <a:xfrm>
          <a:off x="2315210" y="95885"/>
          <a:ext cx="1450340" cy="6051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430530</xdr:colOff>
      <xdr:row>0</xdr:row>
      <xdr:rowOff>118110</xdr:rowOff>
    </xdr:from>
    <xdr:to>
      <xdr:col>6</xdr:col>
      <xdr:colOff>13970</xdr:colOff>
      <xdr:row>0</xdr:row>
      <xdr:rowOff>723265</xdr:rowOff>
    </xdr:to>
    <xdr:pic>
      <xdr:nvPicPr>
        <xdr:cNvPr id="3" name="Imagem 2"/>
        <xdr:cNvPicPr/>
      </xdr:nvPicPr>
      <xdr:blipFill>
        <a:blip r:embed="rId1"/>
        <a:stretch>
          <a:fillRect/>
        </a:stretch>
      </xdr:blipFill>
      <xdr:spPr>
        <a:xfrm>
          <a:off x="5059680" y="118110"/>
          <a:ext cx="1450340" cy="6051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2848610</xdr:colOff>
      <xdr:row>0</xdr:row>
      <xdr:rowOff>76835</xdr:rowOff>
    </xdr:from>
    <xdr:to>
      <xdr:col>2</xdr:col>
      <xdr:colOff>1136650</xdr:colOff>
      <xdr:row>0</xdr:row>
      <xdr:rowOff>681990</xdr:rowOff>
    </xdr:to>
    <xdr:pic>
      <xdr:nvPicPr>
        <xdr:cNvPr id="3" name="Imagem 2"/>
        <xdr:cNvPicPr/>
      </xdr:nvPicPr>
      <xdr:blipFill>
        <a:blip r:embed="rId1"/>
        <a:stretch>
          <a:fillRect/>
        </a:stretch>
      </xdr:blipFill>
      <xdr:spPr>
        <a:xfrm>
          <a:off x="3562985" y="76835"/>
          <a:ext cx="1450340" cy="6051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1162050</xdr:colOff>
      <xdr:row>0</xdr:row>
      <xdr:rowOff>86360</xdr:rowOff>
    </xdr:from>
    <xdr:to>
      <xdr:col>5</xdr:col>
      <xdr:colOff>793115</xdr:colOff>
      <xdr:row>0</xdr:row>
      <xdr:rowOff>691515</xdr:rowOff>
    </xdr:to>
    <xdr:pic>
      <xdr:nvPicPr>
        <xdr:cNvPr id="2" name="Imagem 1"/>
        <xdr:cNvPicPr/>
      </xdr:nvPicPr>
      <xdr:blipFill>
        <a:blip r:embed="rId1"/>
        <a:stretch>
          <a:fillRect/>
        </a:stretch>
      </xdr:blipFill>
      <xdr:spPr>
        <a:xfrm>
          <a:off x="3152775" y="86360"/>
          <a:ext cx="1450340" cy="6051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349248</xdr:colOff>
      <xdr:row>15</xdr:row>
      <xdr:rowOff>103186</xdr:rowOff>
    </xdr:from>
    <xdr:ext cx="4371997" cy="585789"/>
    <xdr:sp>
      <xdr:nvSpPr>
        <xdr:cNvPr id="2" name="CaixaDeTexto 2"/>
        <xdr:cNvSpPr txBox="1"/>
      </xdr:nvSpPr>
      <xdr:spPr>
        <a:xfrm>
          <a:off x="1758315" y="10208895"/>
          <a:ext cx="4372610" cy="586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pt-BR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200" b="0" i="0" u="none" strike="noStrike" baseline="0">
              <a:solidFill>
                <a:srgbClr val="333333"/>
              </a:solidFill>
              <a:latin typeface="Times New Roman" panose="02020603050405020304" pitchFamily="12"/>
              <a:cs typeface="Times New Roman" panose="02020603050405020304" pitchFamily="12"/>
            </a:rPr>
            <a:t>BDI=</a:t>
          </a:r>
          <a:r>
            <a:rPr lang="pt-BR" sz="1400" b="0" i="0" u="none" strike="noStrike" baseline="0">
              <a:solidFill>
                <a:srgbClr val="333333"/>
              </a:solidFill>
              <a:latin typeface="Cambria Math" panose="02040503050406030204"/>
              <a:ea typeface="Cambria Math" panose="02040503050406030204"/>
            </a:rPr>
            <a:t>{</a:t>
          </a:r>
          <a:r>
            <a:rPr lang="pt-BR" sz="1400" b="0" i="0" u="none" strike="noStrike" baseline="0">
              <a:solidFill>
                <a:srgbClr val="333333"/>
              </a:solidFill>
              <a:latin typeface="Calibri" panose="020F0502020204030204"/>
            </a:rPr>
            <a:t>[((1+(AC+R+S+G))(1+DF)(1+L))/(1-I)]"-1</a:t>
          </a:r>
          <a:r>
            <a:rPr lang="pt-BR" sz="1400" b="0" i="0" u="none" strike="noStrike" baseline="0">
              <a:solidFill>
                <a:srgbClr val="333333"/>
              </a:solidFill>
              <a:latin typeface="Cambria Math" panose="02040503050406030204"/>
              <a:ea typeface="Cambria Math" panose="02040503050406030204"/>
            </a:rPr>
            <a:t>" }∗</a:t>
          </a:r>
          <a:r>
            <a:rPr lang="pt-BR" sz="1400" b="0" i="0" u="none" strike="noStrike" baseline="0">
              <a:solidFill>
                <a:srgbClr val="333333"/>
              </a:solidFill>
              <a:latin typeface="Times New Roman" panose="02020603050405020304" pitchFamily="12"/>
              <a:cs typeface="Times New Roman" panose="02020603050405020304" pitchFamily="12"/>
            </a:rPr>
            <a:t>100</a:t>
          </a:r>
          <a:endParaRPr lang="pt-BR" altLang="en-US" sz="1400" b="0" i="0" u="none" strike="noStrike" baseline="0">
            <a:solidFill>
              <a:srgbClr val="333333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 editAs="oneCell">
    <xdr:from>
      <xdr:col>2</xdr:col>
      <xdr:colOff>934720</xdr:colOff>
      <xdr:row>0</xdr:row>
      <xdr:rowOff>76835</xdr:rowOff>
    </xdr:from>
    <xdr:to>
      <xdr:col>2</xdr:col>
      <xdr:colOff>2714625</xdr:colOff>
      <xdr:row>0</xdr:row>
      <xdr:rowOff>974090</xdr:rowOff>
    </xdr:to>
    <xdr:pic>
      <xdr:nvPicPr>
        <xdr:cNvPr id="3" name="Imagem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1770" y="76835"/>
          <a:ext cx="1779905" cy="8972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CRIS\02 TR E PROJETOS B&#193;SICOS\01 MERCADO\1&#170; ETAPA_MERCADO_R00\ANEXO II\MERCADO_PLANILHA_ANEXOS_R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O DE TRABALHO"/>
      <sheetName val="ORÇAMENTO BÁSICO"/>
      <sheetName val="ORÇAMENTO BÁSICO SEM PREÇO"/>
      <sheetName val="MEMÓRIA DE CÁLCULO NOSSA"/>
      <sheetName val="Planilha2"/>
      <sheetName val="Planilha1"/>
      <sheetName val="MEMÓRIA DE CÁLCULO"/>
      <sheetName val="CRONOGRAMA "/>
      <sheetName val="COMPOSIÇÃO 1 - CHAPA APOIO PIL"/>
      <sheetName val="COMPOSIÇÃO 2 -PERFIL I AÇO"/>
      <sheetName val="COMPOSIÇÃO 3 - PERFIL U ENRIG"/>
      <sheetName val="COMPOSIÇÃO 4 - PERFIL W250"/>
      <sheetName val="COMPOSIÇÃO 5 - MÃO FRANCESA"/>
      <sheetName val=" COMPOSIÇÃO 6 - PISO CHAPA"/>
      <sheetName val="COMPOSIÇÃO 7 - GRAUTEAMENTO"/>
      <sheetName val="BDI COMPOSIÇÃO "/>
    </sheetNames>
    <sheetDataSet>
      <sheetData sheetId="0"/>
      <sheetData sheetId="1"/>
      <sheetData sheetId="2"/>
      <sheetData sheetId="3">
        <row r="9">
          <cell r="A9" t="str">
            <v>1.0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opymais@copymais.com.br&gt;" TargetMode="External"/><Relationship Id="rId2" Type="http://schemas.openxmlformats.org/officeDocument/2006/relationships/hyperlink" Target="mailto:valeriacastrocosta@gmail.com" TargetMode="Externa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view="pageBreakPreview" zoomScaleNormal="100" workbookViewId="0">
      <selection activeCell="C32" sqref="C32:I32"/>
    </sheetView>
  </sheetViews>
  <sheetFormatPr defaultColWidth="9.14285714285714" defaultRowHeight="15.75"/>
  <cols>
    <col min="1" max="1" width="9.14285714285714" style="195"/>
    <col min="2" max="2" width="11.8571428571429" style="195" customWidth="1"/>
    <col min="3" max="3" width="17" style="195" customWidth="1"/>
    <col min="4" max="4" width="33.8571428571429" style="195" customWidth="1"/>
    <col min="5" max="5" width="11.5714285714286" style="316" customWidth="1"/>
    <col min="6" max="6" width="17.1428571428571" style="316" customWidth="1"/>
    <col min="7" max="7" width="14.4285714285714" style="317" customWidth="1"/>
    <col min="8" max="8" width="14" style="317" customWidth="1"/>
    <col min="9" max="9" width="18.5714285714286" style="318" customWidth="1"/>
    <col min="10" max="10" width="15" style="195"/>
    <col min="11" max="16384" width="9.14285714285714" style="195"/>
  </cols>
  <sheetData>
    <row r="1" ht="81" customHeight="1" spans="1:9">
      <c r="A1" s="252" t="s">
        <v>0</v>
      </c>
      <c r="B1" s="252"/>
      <c r="C1" s="252"/>
      <c r="D1" s="252"/>
      <c r="E1" s="252"/>
      <c r="F1" s="252"/>
      <c r="G1" s="319"/>
      <c r="H1" s="319"/>
      <c r="I1" s="319"/>
    </row>
    <row r="2" ht="21" customHeight="1" spans="1:9">
      <c r="A2" s="254" t="s">
        <v>1</v>
      </c>
      <c r="B2" s="254"/>
      <c r="C2" s="254"/>
      <c r="D2" s="254"/>
      <c r="E2" s="254"/>
      <c r="F2" s="254"/>
      <c r="G2" s="320"/>
      <c r="H2" s="320"/>
      <c r="I2" s="320"/>
    </row>
    <row r="3" ht="21" customHeight="1" spans="1:9">
      <c r="A3" s="254" t="s">
        <v>2</v>
      </c>
      <c r="B3" s="254"/>
      <c r="C3" s="254"/>
      <c r="D3" s="254"/>
      <c r="E3" s="254"/>
      <c r="F3" s="254"/>
      <c r="G3" s="320"/>
      <c r="H3" s="320"/>
      <c r="I3" s="320"/>
    </row>
    <row r="4" ht="57" customHeight="1" spans="1:9">
      <c r="A4" s="256" t="s">
        <v>3</v>
      </c>
      <c r="B4" s="256"/>
      <c r="C4" s="206" t="s">
        <v>4</v>
      </c>
      <c r="D4" s="206"/>
      <c r="E4" s="207"/>
      <c r="F4" s="207"/>
      <c r="G4" s="208"/>
      <c r="H4" s="204" t="s">
        <v>5</v>
      </c>
      <c r="I4" s="384">
        <v>0.2882</v>
      </c>
    </row>
    <row r="5" ht="32" customHeight="1" spans="1:9">
      <c r="A5" s="256" t="s">
        <v>6</v>
      </c>
      <c r="B5" s="256"/>
      <c r="C5" s="206" t="s">
        <v>7</v>
      </c>
      <c r="D5" s="206"/>
      <c r="E5" s="207"/>
      <c r="F5" s="207"/>
      <c r="G5" s="208"/>
      <c r="H5" s="208"/>
      <c r="I5" s="209"/>
    </row>
    <row r="6" ht="32" customHeight="1" spans="1:9">
      <c r="A6" s="210" t="s">
        <v>8</v>
      </c>
      <c r="B6" s="210"/>
      <c r="C6" s="206" t="s">
        <v>9</v>
      </c>
      <c r="D6" s="206"/>
      <c r="E6" s="207"/>
      <c r="F6" s="207"/>
      <c r="G6" s="208"/>
      <c r="H6" s="208"/>
      <c r="I6" s="209"/>
    </row>
    <row r="7" ht="32" customHeight="1" spans="1:9">
      <c r="A7" s="321" t="s">
        <v>10</v>
      </c>
      <c r="B7" s="322"/>
      <c r="C7" s="322"/>
      <c r="D7" s="322"/>
      <c r="E7" s="322"/>
      <c r="F7" s="322"/>
      <c r="G7" s="322"/>
      <c r="H7" s="322"/>
      <c r="I7" s="385"/>
    </row>
    <row r="8" ht="24" customHeight="1" spans="1:9">
      <c r="A8" s="256" t="s">
        <v>11</v>
      </c>
      <c r="B8" s="256" t="s">
        <v>12</v>
      </c>
      <c r="C8" s="210" t="s">
        <v>13</v>
      </c>
      <c r="D8" s="256" t="s">
        <v>14</v>
      </c>
      <c r="E8" s="256" t="s">
        <v>15</v>
      </c>
      <c r="F8" s="256"/>
      <c r="G8" s="323" t="s">
        <v>16</v>
      </c>
      <c r="H8" s="323"/>
      <c r="I8" s="323"/>
    </row>
    <row r="9" ht="24" customHeight="1" spans="1:9">
      <c r="A9" s="256"/>
      <c r="B9" s="256"/>
      <c r="C9" s="210"/>
      <c r="D9" s="256"/>
      <c r="E9" s="256" t="s">
        <v>17</v>
      </c>
      <c r="F9" s="256" t="s">
        <v>18</v>
      </c>
      <c r="G9" s="324" t="s">
        <v>19</v>
      </c>
      <c r="H9" s="324" t="s">
        <v>20</v>
      </c>
      <c r="I9" s="323" t="s">
        <v>21</v>
      </c>
    </row>
    <row r="10" ht="21" customHeight="1" spans="1:9">
      <c r="A10" s="325" t="str">
        <f>'[1]MEMÓRIA DE CÁLCULO NOSSA'!A9</f>
        <v>1.0</v>
      </c>
      <c r="B10" s="326" t="s">
        <v>22</v>
      </c>
      <c r="C10" s="326"/>
      <c r="D10" s="326"/>
      <c r="E10" s="326"/>
      <c r="F10" s="326"/>
      <c r="G10" s="327"/>
      <c r="H10" s="327"/>
      <c r="I10" s="386">
        <f>SUM(I11:I12)</f>
        <v>14546.74</v>
      </c>
    </row>
    <row r="11" ht="24" customHeight="1" spans="1:9">
      <c r="A11" s="328" t="s">
        <v>23</v>
      </c>
      <c r="B11" s="329">
        <v>40938</v>
      </c>
      <c r="C11" s="108" t="s">
        <v>24</v>
      </c>
      <c r="D11" s="330" t="s">
        <v>25</v>
      </c>
      <c r="E11" s="329" t="s">
        <v>26</v>
      </c>
      <c r="F11" s="329">
        <f>'COMPOSIÇÃO E MEMORIA'!G11</f>
        <v>0.03</v>
      </c>
      <c r="G11" s="331">
        <v>20332.15</v>
      </c>
      <c r="H11" s="332">
        <f>TRUNC(G11+G11*$I$4,2)</f>
        <v>26191.87</v>
      </c>
      <c r="I11" s="332">
        <f>TRUNC(F11*H11,2)</f>
        <v>785.75</v>
      </c>
    </row>
    <row r="12" ht="24" customHeight="1" spans="1:9">
      <c r="A12" s="328" t="s">
        <v>27</v>
      </c>
      <c r="B12" s="329">
        <v>40937</v>
      </c>
      <c r="C12" s="108" t="s">
        <v>24</v>
      </c>
      <c r="D12" s="300" t="s">
        <v>28</v>
      </c>
      <c r="E12" s="329" t="s">
        <v>26</v>
      </c>
      <c r="F12" s="329">
        <f>'COMPOSIÇÃO E MEMORIA'!G12</f>
        <v>0.72</v>
      </c>
      <c r="G12" s="331">
        <v>14836.59</v>
      </c>
      <c r="H12" s="332">
        <f>TRUNC(G12+G12*$I$4,2)</f>
        <v>19112.49</v>
      </c>
      <c r="I12" s="332">
        <f>TRUNC(F12*H12,2)</f>
        <v>13760.99</v>
      </c>
    </row>
    <row r="13" ht="21" customHeight="1" spans="1:9">
      <c r="A13" s="333" t="s">
        <v>29</v>
      </c>
      <c r="B13" s="334" t="s">
        <v>30</v>
      </c>
      <c r="C13" s="334"/>
      <c r="D13" s="334"/>
      <c r="E13" s="334"/>
      <c r="F13" s="334"/>
      <c r="G13" s="335"/>
      <c r="H13" s="335"/>
      <c r="I13" s="387">
        <f>SUM(I14:I19)</f>
        <v>9692.65</v>
      </c>
    </row>
    <row r="14" ht="24" customHeight="1" spans="1:9">
      <c r="A14" s="336" t="s">
        <v>31</v>
      </c>
      <c r="B14" s="329">
        <v>40931</v>
      </c>
      <c r="C14" s="108" t="s">
        <v>24</v>
      </c>
      <c r="D14" s="330" t="s">
        <v>32</v>
      </c>
      <c r="E14" s="329" t="s">
        <v>26</v>
      </c>
      <c r="F14" s="337">
        <f>'COMPOSIÇÃO E MEMORIA'!G15</f>
        <v>0.8</v>
      </c>
      <c r="G14" s="331">
        <v>3946.73</v>
      </c>
      <c r="H14" s="332">
        <f>TRUNC(G14+G14*$I$4,2)</f>
        <v>5084.17</v>
      </c>
      <c r="I14" s="332">
        <f t="shared" ref="I14:I19" si="0">TRUNC(F14*H14,2)</f>
        <v>4067.33</v>
      </c>
    </row>
    <row r="15" ht="24" customHeight="1" spans="1:9">
      <c r="A15" s="336" t="s">
        <v>33</v>
      </c>
      <c r="B15" s="329">
        <v>40820</v>
      </c>
      <c r="C15" s="108" t="s">
        <v>24</v>
      </c>
      <c r="D15" s="330" t="s">
        <v>34</v>
      </c>
      <c r="E15" s="329" t="s">
        <v>26</v>
      </c>
      <c r="F15" s="337">
        <f>'COMPOSIÇÃO E MEMORIA'!G16</f>
        <v>0.1</v>
      </c>
      <c r="G15" s="331">
        <v>3328.94</v>
      </c>
      <c r="H15" s="332">
        <f>TRUNC(G15+G15*$I$4,2)</f>
        <v>4288.34</v>
      </c>
      <c r="I15" s="332">
        <f t="shared" si="0"/>
        <v>428.83</v>
      </c>
    </row>
    <row r="16" ht="24" customHeight="1" spans="1:9">
      <c r="A16" s="336" t="s">
        <v>35</v>
      </c>
      <c r="B16" s="329">
        <v>41089</v>
      </c>
      <c r="C16" s="108" t="s">
        <v>24</v>
      </c>
      <c r="D16" s="330" t="s">
        <v>36</v>
      </c>
      <c r="E16" s="329" t="s">
        <v>26</v>
      </c>
      <c r="F16" s="337">
        <f>'COMPOSIÇÃO E MEMORIA'!G17</f>
        <v>0.1</v>
      </c>
      <c r="G16" s="331">
        <v>3485.55</v>
      </c>
      <c r="H16" s="332">
        <f>TRUNC(G16+G16*$I$4,2)</f>
        <v>4490.08</v>
      </c>
      <c r="I16" s="332">
        <f t="shared" si="0"/>
        <v>449</v>
      </c>
    </row>
    <row r="17" ht="24" customHeight="1" spans="1:9">
      <c r="A17" s="336" t="s">
        <v>37</v>
      </c>
      <c r="B17" s="329">
        <v>41093</v>
      </c>
      <c r="C17" s="108" t="s">
        <v>24</v>
      </c>
      <c r="D17" s="300" t="s">
        <v>38</v>
      </c>
      <c r="E17" s="329" t="s">
        <v>26</v>
      </c>
      <c r="F17" s="337">
        <f>'COMPOSIÇÃO E MEMORIA'!G18</f>
        <v>0.2</v>
      </c>
      <c r="G17" s="331">
        <v>1359.82</v>
      </c>
      <c r="H17" s="332">
        <f>TRUNC(G17+G17*$I$4,2)</f>
        <v>1751.72</v>
      </c>
      <c r="I17" s="332">
        <f t="shared" si="0"/>
        <v>350.34</v>
      </c>
    </row>
    <row r="18" ht="24" customHeight="1" spans="1:9">
      <c r="A18" s="336" t="s">
        <v>39</v>
      </c>
      <c r="B18" s="329">
        <v>41090</v>
      </c>
      <c r="C18" s="108" t="s">
        <v>24</v>
      </c>
      <c r="D18" s="300" t="s">
        <v>40</v>
      </c>
      <c r="E18" s="329" t="s">
        <v>26</v>
      </c>
      <c r="F18" s="337">
        <f>'COMPOSIÇÃO E MEMORIA'!G19</f>
        <v>0.3</v>
      </c>
      <c r="G18" s="331">
        <v>2744.92</v>
      </c>
      <c r="H18" s="332">
        <f>TRUNC(G18+G18*$I$4,2)</f>
        <v>3536</v>
      </c>
      <c r="I18" s="332">
        <f t="shared" si="0"/>
        <v>1060.8</v>
      </c>
    </row>
    <row r="19" ht="24" customHeight="1" spans="1:9">
      <c r="A19" s="336" t="s">
        <v>41</v>
      </c>
      <c r="B19" s="329">
        <v>40808</v>
      </c>
      <c r="C19" s="108" t="s">
        <v>24</v>
      </c>
      <c r="D19" s="300" t="s">
        <v>42</v>
      </c>
      <c r="E19" s="329" t="s">
        <v>26</v>
      </c>
      <c r="F19" s="337">
        <f>'COMPOSIÇÃO E MEMORIA'!G20</f>
        <v>0.8</v>
      </c>
      <c r="G19" s="331">
        <v>3237.42</v>
      </c>
      <c r="H19" s="332">
        <f>TRUNC(G19+G19*$I$4,2)</f>
        <v>4170.44</v>
      </c>
      <c r="I19" s="332">
        <f t="shared" si="0"/>
        <v>3336.35</v>
      </c>
    </row>
    <row r="20" ht="21" customHeight="1" spans="1:9">
      <c r="A20" s="338" t="s">
        <v>43</v>
      </c>
      <c r="B20" s="339" t="s">
        <v>44</v>
      </c>
      <c r="C20" s="339"/>
      <c r="D20" s="339"/>
      <c r="E20" s="339"/>
      <c r="F20" s="339"/>
      <c r="G20" s="340"/>
      <c r="H20" s="340"/>
      <c r="I20" s="387">
        <f>SUM(I21:I23)</f>
        <v>3235.92</v>
      </c>
    </row>
    <row r="21" ht="48" customHeight="1" spans="1:9">
      <c r="A21" s="336" t="s">
        <v>45</v>
      </c>
      <c r="B21" s="341">
        <v>92138</v>
      </c>
      <c r="C21" s="108" t="s">
        <v>24</v>
      </c>
      <c r="D21" s="300" t="s">
        <v>46</v>
      </c>
      <c r="E21" s="329" t="s">
        <v>47</v>
      </c>
      <c r="F21" s="342">
        <f>'COMPOSIÇÃO E MEMORIA'!B23</f>
        <v>4</v>
      </c>
      <c r="G21" s="332">
        <v>591.68</v>
      </c>
      <c r="H21" s="332">
        <f>TRUNC(G21+G21*$I$4,2)</f>
        <v>762.2</v>
      </c>
      <c r="I21" s="332">
        <f>TRUNC(F21*H21,2)</f>
        <v>3048.8</v>
      </c>
    </row>
    <row r="22" ht="83" customHeight="1" spans="1:9">
      <c r="A22" s="336" t="s">
        <v>48</v>
      </c>
      <c r="B22" s="343">
        <v>7247</v>
      </c>
      <c r="C22" s="108" t="s">
        <v>24</v>
      </c>
      <c r="D22" s="300" t="s">
        <v>49</v>
      </c>
      <c r="E22" s="329" t="s">
        <v>47</v>
      </c>
      <c r="F22" s="342">
        <f>'COMPOSIÇÃO E MEMORIA'!B24</f>
        <v>4</v>
      </c>
      <c r="G22" s="332">
        <f>2.27*8</f>
        <v>18.16</v>
      </c>
      <c r="H22" s="332">
        <f>TRUNC(G22+G22*$I$4,2)</f>
        <v>23.39</v>
      </c>
      <c r="I22" s="332">
        <f>TRUNC(F22*H22,2)</f>
        <v>93.56</v>
      </c>
    </row>
    <row r="23" ht="54" customHeight="1" spans="1:9">
      <c r="A23" s="336" t="s">
        <v>50</v>
      </c>
      <c r="B23" s="343">
        <v>7252</v>
      </c>
      <c r="C23" s="108" t="s">
        <v>24</v>
      </c>
      <c r="D23" s="300" t="s">
        <v>51</v>
      </c>
      <c r="E23" s="329" t="s">
        <v>47</v>
      </c>
      <c r="F23" s="342">
        <f>'COMPOSIÇÃO E MEMORIA'!B25</f>
        <v>4</v>
      </c>
      <c r="G23" s="332">
        <f>2.27*8</f>
        <v>18.16</v>
      </c>
      <c r="H23" s="332">
        <f>TRUNC(G23+G23*$I$4,2)</f>
        <v>23.39</v>
      </c>
      <c r="I23" s="332">
        <f>TRUNC(F23*H23,2)</f>
        <v>93.56</v>
      </c>
    </row>
    <row r="24" ht="30" customHeight="1" spans="1:9">
      <c r="A24" s="344" t="s">
        <v>52</v>
      </c>
      <c r="B24" s="345"/>
      <c r="C24" s="345"/>
      <c r="D24" s="345"/>
      <c r="E24" s="345"/>
      <c r="F24" s="345"/>
      <c r="G24" s="345"/>
      <c r="H24" s="346"/>
      <c r="I24" s="388">
        <f>TRUNC(SUM(I10+I13+I20),2)</f>
        <v>27475.31</v>
      </c>
    </row>
    <row r="25" ht="30" customHeight="1" spans="1:9">
      <c r="A25" s="321" t="s">
        <v>53</v>
      </c>
      <c r="B25" s="322"/>
      <c r="C25" s="322"/>
      <c r="D25" s="322"/>
      <c r="E25" s="322"/>
      <c r="F25" s="322"/>
      <c r="G25" s="322"/>
      <c r="H25" s="322"/>
      <c r="I25" s="385"/>
    </row>
    <row r="26" ht="24" customHeight="1" spans="1:9">
      <c r="A26" s="347" t="s">
        <v>54</v>
      </c>
      <c r="B26" s="348" t="s">
        <v>55</v>
      </c>
      <c r="C26" s="348"/>
      <c r="D26" s="348"/>
      <c r="E26" s="348"/>
      <c r="F26" s="348"/>
      <c r="G26" s="348"/>
      <c r="H26" s="348"/>
      <c r="I26" s="389"/>
    </row>
    <row r="27" ht="35" customHeight="1" spans="1:9">
      <c r="A27" s="256" t="s">
        <v>11</v>
      </c>
      <c r="B27" s="256" t="s">
        <v>12</v>
      </c>
      <c r="C27" s="210" t="s">
        <v>13</v>
      </c>
      <c r="D27" s="349" t="str">
        <f>D8</f>
        <v>DESCRIÇÃO</v>
      </c>
      <c r="E27" s="349" t="str">
        <f>E9</f>
        <v>UNID.</v>
      </c>
      <c r="F27" s="349" t="str">
        <f>F9</f>
        <v>QUANTIDADES</v>
      </c>
      <c r="G27" s="324" t="s">
        <v>19</v>
      </c>
      <c r="H27" s="324" t="s">
        <v>20</v>
      </c>
      <c r="I27" s="390" t="s">
        <v>56</v>
      </c>
    </row>
    <row r="28" ht="35" customHeight="1" spans="1:9">
      <c r="A28" s="350" t="s">
        <v>57</v>
      </c>
      <c r="B28" s="201" t="s">
        <v>58</v>
      </c>
      <c r="C28" s="108" t="s">
        <v>59</v>
      </c>
      <c r="D28" s="300" t="s">
        <v>60</v>
      </c>
      <c r="E28" s="351" t="s">
        <v>17</v>
      </c>
      <c r="F28" s="329">
        <f>24*3</f>
        <v>72</v>
      </c>
      <c r="G28" s="352">
        <f>'COTAÇÃO IMPRESSÕES'!G12</f>
        <v>184.5</v>
      </c>
      <c r="H28" s="332">
        <f>TRUNC(G28+G28*$I$4,2)</f>
        <v>237.67</v>
      </c>
      <c r="I28" s="332">
        <f>TRUNC(F28*H28,2)</f>
        <v>17112.24</v>
      </c>
    </row>
    <row r="29" ht="35" customHeight="1" spans="1:9">
      <c r="A29" s="341" t="s">
        <v>61</v>
      </c>
      <c r="B29" s="353" t="s">
        <v>10</v>
      </c>
      <c r="C29" s="354"/>
      <c r="D29" s="355" t="str">
        <f>'RUAS PARA PROJETO'!A3</f>
        <v>LEVANTAMENTO DAS  RUAS PARA PROJETOS - ANEXO 01</v>
      </c>
      <c r="E29" s="329" t="s">
        <v>62</v>
      </c>
      <c r="F29" s="329">
        <f>'RUAS PARA PROJETO'!D33</f>
        <v>6.66</v>
      </c>
      <c r="G29" s="356">
        <f>I24</f>
        <v>27475.31</v>
      </c>
      <c r="H29" s="357"/>
      <c r="I29" s="391">
        <f>ROUND(G29*F29,2)</f>
        <v>182985.56</v>
      </c>
    </row>
    <row r="30" ht="10" customHeight="1" spans="1:9">
      <c r="A30" s="358"/>
      <c r="B30" s="359"/>
      <c r="C30" s="359"/>
      <c r="D30" s="359"/>
      <c r="E30" s="359"/>
      <c r="F30" s="359"/>
      <c r="G30" s="360"/>
      <c r="H30" s="360"/>
      <c r="I30" s="392"/>
    </row>
    <row r="31" ht="21" customHeight="1" spans="1:9">
      <c r="A31" s="361" t="s">
        <v>63</v>
      </c>
      <c r="B31" s="362"/>
      <c r="C31" s="362"/>
      <c r="D31" s="362"/>
      <c r="E31" s="362"/>
      <c r="F31" s="362"/>
      <c r="G31" s="363"/>
      <c r="H31" s="364"/>
      <c r="I31" s="388">
        <f>ROUND(I29+I28,2)</f>
        <v>200097.8</v>
      </c>
    </row>
    <row r="32" ht="36" customHeight="1" spans="1:9">
      <c r="A32" s="365" t="s">
        <v>64</v>
      </c>
      <c r="B32" s="365"/>
      <c r="C32" s="366" t="s">
        <v>65</v>
      </c>
      <c r="D32" s="366"/>
      <c r="E32" s="366"/>
      <c r="F32" s="366"/>
      <c r="G32" s="367"/>
      <c r="H32" s="367"/>
      <c r="I32" s="367"/>
    </row>
    <row r="33" ht="46" customHeight="1" spans="1:9">
      <c r="A33" s="368" t="s">
        <v>66</v>
      </c>
      <c r="B33" s="369"/>
      <c r="C33" s="369"/>
      <c r="D33" s="369"/>
      <c r="E33" s="369"/>
      <c r="F33" s="369"/>
      <c r="G33" s="370"/>
      <c r="H33" s="370"/>
      <c r="I33" s="393"/>
    </row>
    <row r="34" ht="50" customHeight="1" spans="1:9">
      <c r="A34" s="371"/>
      <c r="B34" s="372"/>
      <c r="C34" s="372"/>
      <c r="D34" s="372"/>
      <c r="E34" s="372"/>
      <c r="F34" s="372"/>
      <c r="G34" s="373"/>
      <c r="H34" s="373"/>
      <c r="I34" s="394"/>
    </row>
    <row r="35" ht="50" customHeight="1" spans="1:9">
      <c r="A35" s="374" t="s">
        <v>67</v>
      </c>
      <c r="B35" s="375"/>
      <c r="C35" s="375"/>
      <c r="D35" s="375"/>
      <c r="E35" s="375"/>
      <c r="F35" s="375"/>
      <c r="G35" s="376"/>
      <c r="H35" s="376"/>
      <c r="I35" s="395"/>
    </row>
    <row r="36" spans="1:9">
      <c r="A36" s="377"/>
      <c r="B36" s="377"/>
      <c r="C36" s="377"/>
      <c r="D36" s="378"/>
      <c r="E36" s="379"/>
      <c r="F36" s="379"/>
      <c r="G36" s="380"/>
      <c r="H36" s="380"/>
      <c r="I36" s="396"/>
    </row>
    <row r="37" spans="1:9">
      <c r="A37" s="377"/>
      <c r="B37" s="377"/>
      <c r="C37" s="377"/>
      <c r="D37" s="381"/>
      <c r="E37" s="382"/>
      <c r="F37" s="382"/>
      <c r="G37" s="383"/>
      <c r="H37" s="380"/>
      <c r="I37" s="396"/>
    </row>
  </sheetData>
  <mergeCells count="33">
    <mergeCell ref="A1:I1"/>
    <mergeCell ref="A2:I2"/>
    <mergeCell ref="A3:I3"/>
    <mergeCell ref="A4:B4"/>
    <mergeCell ref="C4:G4"/>
    <mergeCell ref="A5:B5"/>
    <mergeCell ref="C5:I5"/>
    <mergeCell ref="A6:B6"/>
    <mergeCell ref="C6:I6"/>
    <mergeCell ref="A7:I7"/>
    <mergeCell ref="E8:F8"/>
    <mergeCell ref="G8:I8"/>
    <mergeCell ref="B10:H10"/>
    <mergeCell ref="B13:H13"/>
    <mergeCell ref="B20:H20"/>
    <mergeCell ref="A24:H24"/>
    <mergeCell ref="A25:I25"/>
    <mergeCell ref="B26:I26"/>
    <mergeCell ref="B29:C29"/>
    <mergeCell ref="G29:H29"/>
    <mergeCell ref="A30:I30"/>
    <mergeCell ref="A31:H31"/>
    <mergeCell ref="A32:B32"/>
    <mergeCell ref="C32:I32"/>
    <mergeCell ref="A33:I33"/>
    <mergeCell ref="A34:I34"/>
    <mergeCell ref="A35:I35"/>
    <mergeCell ref="E36:F36"/>
    <mergeCell ref="E37:F37"/>
    <mergeCell ref="A8:A9"/>
    <mergeCell ref="B8:B9"/>
    <mergeCell ref="C8:C9"/>
    <mergeCell ref="D8:D9"/>
  </mergeCells>
  <printOptions horizontalCentered="1"/>
  <pageMargins left="0.751388888888889" right="0.751388888888889" top="1" bottom="1" header="0.5" footer="0.5"/>
  <pageSetup paperSize="9" scale="58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view="pageBreakPreview" zoomScaleNormal="100" topLeftCell="A14" workbookViewId="0">
      <selection activeCell="I29" sqref="I29"/>
    </sheetView>
  </sheetViews>
  <sheetFormatPr defaultColWidth="9.14285714285714" defaultRowHeight="15"/>
  <cols>
    <col min="1" max="1" width="29.5714285714286" style="42" customWidth="1"/>
    <col min="2" max="7" width="13.2857142857143" style="42" customWidth="1"/>
    <col min="8" max="8" width="9.14285714285714" style="251"/>
    <col min="9" max="9" width="30.4285714285714" style="42" customWidth="1"/>
    <col min="10" max="10" width="21.8571428571429" style="42" customWidth="1"/>
    <col min="11" max="11" width="16.8571428571429" style="42" customWidth="1"/>
    <col min="12" max="12" width="12" style="42" customWidth="1"/>
    <col min="13" max="16384" width="9.14285714285714" style="42"/>
  </cols>
  <sheetData>
    <row r="1" s="195" customFormat="1" ht="70" customHeight="1" spans="1:9">
      <c r="A1" s="252" t="s">
        <v>0</v>
      </c>
      <c r="B1" s="252"/>
      <c r="C1" s="252"/>
      <c r="D1" s="252"/>
      <c r="E1" s="252"/>
      <c r="F1" s="252"/>
      <c r="G1" s="252"/>
      <c r="H1" s="253"/>
      <c r="I1" s="249"/>
    </row>
    <row r="2" s="195" customFormat="1" ht="23" customHeight="1" spans="1:9">
      <c r="A2" s="254" t="s">
        <v>1</v>
      </c>
      <c r="B2" s="254"/>
      <c r="C2" s="254"/>
      <c r="D2" s="254"/>
      <c r="E2" s="254"/>
      <c r="F2" s="254"/>
      <c r="G2" s="254"/>
      <c r="H2" s="253"/>
      <c r="I2" s="249"/>
    </row>
    <row r="3" s="195" customFormat="1" ht="23" customHeight="1" spans="1:9">
      <c r="A3" s="255" t="s">
        <v>68</v>
      </c>
      <c r="B3" s="255"/>
      <c r="C3" s="255"/>
      <c r="D3" s="255"/>
      <c r="E3" s="255"/>
      <c r="F3" s="255"/>
      <c r="G3" s="255"/>
      <c r="H3" s="255"/>
      <c r="I3" s="249"/>
    </row>
    <row r="4" s="195" customFormat="1" ht="69" customHeight="1" spans="1:8">
      <c r="A4" s="256" t="s">
        <v>3</v>
      </c>
      <c r="B4" s="257" t="str">
        <f>'ORÇAMENTO '!C4</f>
        <v>CONTRATAÇÃO DE EMPRESA DE ENGENHARIA CONSULTIVA PARA ELABORAÇÃO DE PROJETOS EXECUTIVOS DE TERRAPLENAGEM, PAVIMENTAÇÃO, DRENAGEM, PASSEIOS E SINALIZAÇÃO DE DIVERSAS RUAS  NO MUNICÍPIO DE CAMARAGIBE/PE.</v>
      </c>
      <c r="C4" s="258"/>
      <c r="D4" s="258"/>
      <c r="E4" s="258"/>
      <c r="F4" s="258"/>
      <c r="G4" s="259"/>
      <c r="H4" s="260"/>
    </row>
    <row r="5" s="195" customFormat="1" ht="21" customHeight="1" spans="1:8">
      <c r="A5" s="256" t="s">
        <v>6</v>
      </c>
      <c r="B5" s="206" t="s">
        <v>7</v>
      </c>
      <c r="C5" s="206"/>
      <c r="D5" s="207"/>
      <c r="E5" s="207"/>
      <c r="F5" s="208"/>
      <c r="G5" s="208"/>
      <c r="H5" s="261"/>
    </row>
    <row r="6" s="195" customFormat="1" ht="38" customHeight="1" spans="1:8">
      <c r="A6" s="210" t="s">
        <v>8</v>
      </c>
      <c r="B6" s="262" t="s">
        <v>9</v>
      </c>
      <c r="C6" s="263"/>
      <c r="D6" s="263"/>
      <c r="E6" s="263"/>
      <c r="F6" s="263"/>
      <c r="G6" s="264"/>
      <c r="H6" s="265"/>
    </row>
    <row r="7" ht="47.25" spans="1:11">
      <c r="A7" s="266" t="s">
        <v>69</v>
      </c>
      <c r="B7" s="267" t="s">
        <v>70</v>
      </c>
      <c r="C7" s="267" t="s">
        <v>71</v>
      </c>
      <c r="D7" s="267" t="s">
        <v>72</v>
      </c>
      <c r="E7" s="267" t="s">
        <v>73</v>
      </c>
      <c r="F7" s="267" t="s">
        <v>74</v>
      </c>
      <c r="G7" s="267" t="s">
        <v>75</v>
      </c>
      <c r="H7" s="268"/>
      <c r="I7" s="308"/>
      <c r="J7" s="308"/>
      <c r="K7" s="308"/>
    </row>
    <row r="8" ht="12" customHeight="1" spans="1:11">
      <c r="A8" s="269"/>
      <c r="B8" s="270" t="s">
        <v>76</v>
      </c>
      <c r="C8" s="266"/>
      <c r="D8" s="270" t="s">
        <v>77</v>
      </c>
      <c r="E8" s="270" t="s">
        <v>78</v>
      </c>
      <c r="F8" s="271" t="s">
        <v>79</v>
      </c>
      <c r="G8" s="272"/>
      <c r="H8" s="273"/>
      <c r="I8" s="246" t="s">
        <v>80</v>
      </c>
      <c r="J8" s="246"/>
      <c r="K8" s="246"/>
    </row>
    <row r="9" ht="12" customHeight="1" spans="1:11">
      <c r="A9" s="274"/>
      <c r="B9" s="275"/>
      <c r="C9" s="274"/>
      <c r="D9" s="275"/>
      <c r="E9" s="275"/>
      <c r="F9" s="276"/>
      <c r="G9" s="277"/>
      <c r="H9" s="273"/>
      <c r="I9" s="309"/>
      <c r="J9" s="309"/>
      <c r="K9" s="309"/>
    </row>
    <row r="10" ht="25.5" spans="1:12">
      <c r="A10" s="278" t="s">
        <v>22</v>
      </c>
      <c r="B10" s="279"/>
      <c r="C10" s="279"/>
      <c r="D10" s="279"/>
      <c r="E10" s="279"/>
      <c r="F10" s="279"/>
      <c r="G10" s="280"/>
      <c r="H10" s="281"/>
      <c r="I10" s="310" t="s">
        <v>71</v>
      </c>
      <c r="J10" s="310" t="s">
        <v>81</v>
      </c>
      <c r="K10" s="310" t="s">
        <v>72</v>
      </c>
      <c r="L10" s="310" t="s">
        <v>82</v>
      </c>
    </row>
    <row r="11" ht="21" customHeight="1" spans="1:12">
      <c r="A11" s="282" t="s">
        <v>25</v>
      </c>
      <c r="B11" s="283">
        <v>1</v>
      </c>
      <c r="C11" s="284">
        <v>20</v>
      </c>
      <c r="D11" s="285">
        <f>K17</f>
        <v>3.33333333333333</v>
      </c>
      <c r="E11" s="284">
        <v>2</v>
      </c>
      <c r="F11" s="286">
        <f t="shared" ref="F11:F20" si="0">B11*E11*D11</f>
        <v>6.66666666666666</v>
      </c>
      <c r="G11" s="287">
        <f t="shared" ref="G11:G20" si="1">TRUNC(F11/220,2)</f>
        <v>0.03</v>
      </c>
      <c r="H11" s="288"/>
      <c r="I11" s="311">
        <v>44</v>
      </c>
      <c r="J11" s="312">
        <v>6</v>
      </c>
      <c r="K11" s="313">
        <f t="shared" ref="K11:K18" si="2">I11/J11</f>
        <v>7.33333333333333</v>
      </c>
      <c r="L11" s="314">
        <f>K11*30</f>
        <v>220</v>
      </c>
    </row>
    <row r="12" ht="21" customHeight="1" spans="1:12">
      <c r="A12" s="289" t="s">
        <v>28</v>
      </c>
      <c r="B12" s="290">
        <v>3</v>
      </c>
      <c r="C12" s="284">
        <v>40</v>
      </c>
      <c r="D12" s="285">
        <f>K12</f>
        <v>6.66666666666667</v>
      </c>
      <c r="E12" s="284">
        <v>8</v>
      </c>
      <c r="F12" s="286">
        <f t="shared" si="0"/>
        <v>160</v>
      </c>
      <c r="G12" s="287">
        <f t="shared" si="1"/>
        <v>0.72</v>
      </c>
      <c r="H12" s="288"/>
      <c r="I12" s="311">
        <v>40</v>
      </c>
      <c r="J12" s="312">
        <v>6</v>
      </c>
      <c r="K12" s="313">
        <f t="shared" si="2"/>
        <v>6.66666666666667</v>
      </c>
      <c r="L12" s="314">
        <f t="shared" ref="L12:L18" si="3">K12*30</f>
        <v>200</v>
      </c>
    </row>
    <row r="13" ht="17" customHeight="1" spans="1:12">
      <c r="A13" s="291"/>
      <c r="B13" s="292"/>
      <c r="C13" s="292"/>
      <c r="D13" s="292"/>
      <c r="E13" s="292"/>
      <c r="F13" s="292"/>
      <c r="G13" s="293"/>
      <c r="H13" s="294"/>
      <c r="I13" s="311">
        <v>20</v>
      </c>
      <c r="J13" s="312">
        <v>6</v>
      </c>
      <c r="K13" s="313">
        <f t="shared" si="2"/>
        <v>3.33333333333333</v>
      </c>
      <c r="L13" s="314">
        <f t="shared" si="3"/>
        <v>99.9999999999999</v>
      </c>
    </row>
    <row r="14" ht="21" customHeight="1" spans="1:12">
      <c r="A14" s="295" t="s">
        <v>30</v>
      </c>
      <c r="B14" s="295"/>
      <c r="C14" s="295"/>
      <c r="D14" s="295"/>
      <c r="E14" s="295"/>
      <c r="F14" s="295"/>
      <c r="G14" s="295"/>
      <c r="H14" s="281"/>
      <c r="I14" s="311">
        <v>12</v>
      </c>
      <c r="J14" s="312">
        <v>6</v>
      </c>
      <c r="K14" s="313">
        <f t="shared" si="2"/>
        <v>2</v>
      </c>
      <c r="L14" s="314">
        <f t="shared" si="3"/>
        <v>60</v>
      </c>
    </row>
    <row r="15" ht="21" customHeight="1" spans="1:12">
      <c r="A15" s="282" t="s">
        <v>32</v>
      </c>
      <c r="B15" s="283">
        <v>3</v>
      </c>
      <c r="C15" s="284">
        <v>44</v>
      </c>
      <c r="D15" s="296">
        <f>K11</f>
        <v>7.33333333333333</v>
      </c>
      <c r="E15" s="284">
        <f>E12</f>
        <v>8</v>
      </c>
      <c r="F15" s="286">
        <f t="shared" si="0"/>
        <v>176</v>
      </c>
      <c r="G15" s="287">
        <f t="shared" si="1"/>
        <v>0.8</v>
      </c>
      <c r="H15" s="288"/>
      <c r="I15" s="311">
        <v>10</v>
      </c>
      <c r="J15" s="312">
        <v>6</v>
      </c>
      <c r="K15" s="313">
        <f t="shared" si="2"/>
        <v>1.66666666666667</v>
      </c>
      <c r="L15" s="314">
        <f t="shared" si="3"/>
        <v>50.0000000000001</v>
      </c>
    </row>
    <row r="16" ht="21" customHeight="1" spans="1:12">
      <c r="A16" s="282" t="s">
        <v>34</v>
      </c>
      <c r="B16" s="283">
        <v>1</v>
      </c>
      <c r="C16" s="284">
        <v>44</v>
      </c>
      <c r="D16" s="296">
        <f>D15</f>
        <v>7.33333333333333</v>
      </c>
      <c r="E16" s="284">
        <v>3</v>
      </c>
      <c r="F16" s="286">
        <f t="shared" si="0"/>
        <v>22</v>
      </c>
      <c r="G16" s="287">
        <f t="shared" si="1"/>
        <v>0.1</v>
      </c>
      <c r="H16" s="288"/>
      <c r="I16" s="311">
        <v>6</v>
      </c>
      <c r="J16" s="312">
        <v>6</v>
      </c>
      <c r="K16" s="313">
        <f t="shared" si="2"/>
        <v>1</v>
      </c>
      <c r="L16" s="314">
        <f t="shared" si="3"/>
        <v>30</v>
      </c>
    </row>
    <row r="17" ht="21" customHeight="1" spans="1:12">
      <c r="A17" s="282" t="s">
        <v>36</v>
      </c>
      <c r="B17" s="283">
        <v>1</v>
      </c>
      <c r="C17" s="284">
        <v>44</v>
      </c>
      <c r="D17" s="296">
        <f>D15</f>
        <v>7.33333333333333</v>
      </c>
      <c r="E17" s="284">
        <v>3</v>
      </c>
      <c r="F17" s="286">
        <f t="shared" si="0"/>
        <v>22</v>
      </c>
      <c r="G17" s="287">
        <f t="shared" si="1"/>
        <v>0.1</v>
      </c>
      <c r="H17" s="288"/>
      <c r="I17" s="311">
        <v>20</v>
      </c>
      <c r="J17" s="312">
        <v>6</v>
      </c>
      <c r="K17" s="313">
        <f t="shared" si="2"/>
        <v>3.33333333333333</v>
      </c>
      <c r="L17" s="314">
        <f t="shared" si="3"/>
        <v>99.9999999999999</v>
      </c>
    </row>
    <row r="18" ht="21" customHeight="1" spans="1:12">
      <c r="A18" s="289" t="s">
        <v>38</v>
      </c>
      <c r="B18" s="290">
        <v>2</v>
      </c>
      <c r="C18" s="284">
        <v>44</v>
      </c>
      <c r="D18" s="296">
        <f t="shared" ref="D18:D20" si="4">$D$15</f>
        <v>7.33333333333333</v>
      </c>
      <c r="E18" s="284">
        <v>3</v>
      </c>
      <c r="F18" s="286">
        <f t="shared" si="0"/>
        <v>44</v>
      </c>
      <c r="G18" s="287">
        <f t="shared" si="1"/>
        <v>0.2</v>
      </c>
      <c r="H18" s="288"/>
      <c r="I18" s="311">
        <v>1</v>
      </c>
      <c r="J18" s="312">
        <v>6</v>
      </c>
      <c r="K18" s="313">
        <f t="shared" si="2"/>
        <v>0.166666666666667</v>
      </c>
      <c r="L18" s="314">
        <f t="shared" si="3"/>
        <v>5.00000000000001</v>
      </c>
    </row>
    <row r="19" ht="21" customHeight="1" spans="1:11">
      <c r="A19" s="289" t="s">
        <v>40</v>
      </c>
      <c r="B19" s="290">
        <v>3</v>
      </c>
      <c r="C19" s="284">
        <v>44</v>
      </c>
      <c r="D19" s="296">
        <f t="shared" si="4"/>
        <v>7.33333333333333</v>
      </c>
      <c r="E19" s="284">
        <v>3</v>
      </c>
      <c r="F19" s="286">
        <f t="shared" si="0"/>
        <v>66</v>
      </c>
      <c r="G19" s="287">
        <f t="shared" si="1"/>
        <v>0.3</v>
      </c>
      <c r="H19" s="288"/>
      <c r="I19" s="315"/>
      <c r="J19" s="315"/>
      <c r="K19" s="315"/>
    </row>
    <row r="20" ht="21" customHeight="1" spans="1:11">
      <c r="A20" s="289" t="s">
        <v>42</v>
      </c>
      <c r="B20" s="290">
        <v>3</v>
      </c>
      <c r="C20" s="284">
        <v>44</v>
      </c>
      <c r="D20" s="296">
        <f t="shared" si="4"/>
        <v>7.33333333333333</v>
      </c>
      <c r="E20" s="284">
        <f>E12</f>
        <v>8</v>
      </c>
      <c r="F20" s="286">
        <f t="shared" si="0"/>
        <v>176</v>
      </c>
      <c r="G20" s="287">
        <f t="shared" si="1"/>
        <v>0.8</v>
      </c>
      <c r="H20" s="288"/>
      <c r="I20" s="315"/>
      <c r="J20" s="315"/>
      <c r="K20" s="315"/>
    </row>
    <row r="21" ht="17" customHeight="1" spans="1:11">
      <c r="A21" s="297"/>
      <c r="B21" s="298"/>
      <c r="C21" s="298"/>
      <c r="D21" s="298"/>
      <c r="E21" s="298"/>
      <c r="F21" s="298"/>
      <c r="G21" s="299"/>
      <c r="H21" s="288"/>
      <c r="I21" s="315"/>
      <c r="J21" s="315"/>
      <c r="K21" s="315"/>
    </row>
    <row r="22" ht="24" customHeight="1" spans="1:11">
      <c r="A22" s="295" t="s">
        <v>83</v>
      </c>
      <c r="B22" s="295"/>
      <c r="C22" s="295"/>
      <c r="D22" s="295"/>
      <c r="E22" s="295"/>
      <c r="F22" s="295"/>
      <c r="G22" s="295"/>
      <c r="H22" s="281"/>
      <c r="I22" s="315"/>
      <c r="J22" s="315"/>
      <c r="K22" s="315"/>
    </row>
    <row r="23" ht="15.75" spans="1:11">
      <c r="A23" s="300" t="s">
        <v>84</v>
      </c>
      <c r="B23" s="283">
        <v>4</v>
      </c>
      <c r="C23" s="301" t="s">
        <v>85</v>
      </c>
      <c r="D23" s="302"/>
      <c r="E23" s="302"/>
      <c r="F23" s="302"/>
      <c r="G23" s="303"/>
      <c r="H23" s="304"/>
      <c r="I23" s="315"/>
      <c r="J23" s="315"/>
      <c r="K23" s="315"/>
    </row>
    <row r="24" ht="15.75" spans="1:11">
      <c r="A24" s="300" t="s">
        <v>86</v>
      </c>
      <c r="B24" s="283">
        <v>4</v>
      </c>
      <c r="C24" s="301" t="s">
        <v>85</v>
      </c>
      <c r="D24" s="302"/>
      <c r="E24" s="302"/>
      <c r="F24" s="302"/>
      <c r="G24" s="303"/>
      <c r="H24" s="304"/>
      <c r="I24" s="315"/>
      <c r="J24" s="315"/>
      <c r="K24" s="315"/>
    </row>
    <row r="25" ht="23" customHeight="1" spans="1:9">
      <c r="A25" s="300" t="s">
        <v>87</v>
      </c>
      <c r="B25" s="283">
        <v>4</v>
      </c>
      <c r="C25" s="301" t="s">
        <v>85</v>
      </c>
      <c r="D25" s="302"/>
      <c r="E25" s="302"/>
      <c r="F25" s="302"/>
      <c r="G25" s="303"/>
      <c r="H25" s="304"/>
      <c r="I25" s="42">
        <v>3</v>
      </c>
    </row>
    <row r="26" ht="15.75" spans="1:9">
      <c r="A26" s="300" t="s">
        <v>88</v>
      </c>
      <c r="B26" s="283">
        <v>24</v>
      </c>
      <c r="C26" s="301" t="s">
        <v>89</v>
      </c>
      <c r="D26" s="302"/>
      <c r="E26" s="302"/>
      <c r="F26" s="302"/>
      <c r="G26" s="303"/>
      <c r="H26" s="304"/>
      <c r="I26" s="42">
        <v>1</v>
      </c>
    </row>
    <row r="27" ht="21" customHeight="1" spans="1:9">
      <c r="A27" s="305"/>
      <c r="B27" s="306"/>
      <c r="C27" s="306"/>
      <c r="D27" s="306"/>
      <c r="E27" s="306"/>
      <c r="F27" s="306"/>
      <c r="G27" s="307"/>
      <c r="I27" s="42">
        <v>1</v>
      </c>
    </row>
    <row r="28" ht="21" customHeight="1" spans="1:9">
      <c r="A28" s="245" t="s">
        <v>66</v>
      </c>
      <c r="B28" s="246"/>
      <c r="C28" s="246"/>
      <c r="D28" s="246"/>
      <c r="E28" s="246"/>
      <c r="F28" s="246"/>
      <c r="G28" s="247"/>
      <c r="I28" s="42">
        <v>2</v>
      </c>
    </row>
    <row r="29" ht="21" customHeight="1" spans="1:9">
      <c r="A29" s="121"/>
      <c r="G29" s="122"/>
      <c r="I29" s="42">
        <v>3</v>
      </c>
    </row>
    <row r="30" ht="21" customHeight="1" spans="1:9">
      <c r="A30" s="123" t="s">
        <v>67</v>
      </c>
      <c r="B30" s="124"/>
      <c r="C30" s="124"/>
      <c r="D30" s="124"/>
      <c r="E30" s="124"/>
      <c r="F30" s="124"/>
      <c r="G30" s="125"/>
      <c r="I30" s="42">
        <v>3</v>
      </c>
    </row>
  </sheetData>
  <mergeCells count="24">
    <mergeCell ref="A1:G1"/>
    <mergeCell ref="A2:G2"/>
    <mergeCell ref="A3:G3"/>
    <mergeCell ref="B4:G4"/>
    <mergeCell ref="B5:G5"/>
    <mergeCell ref="B6:G6"/>
    <mergeCell ref="I8:K8"/>
    <mergeCell ref="A10:G10"/>
    <mergeCell ref="A13:G13"/>
    <mergeCell ref="A14:G14"/>
    <mergeCell ref="A21:G21"/>
    <mergeCell ref="A22:G22"/>
    <mergeCell ref="C23:G23"/>
    <mergeCell ref="C24:G24"/>
    <mergeCell ref="C25:G25"/>
    <mergeCell ref="C26:G26"/>
    <mergeCell ref="A28:G28"/>
    <mergeCell ref="A30:G30"/>
    <mergeCell ref="A7:A9"/>
    <mergeCell ref="B8:B9"/>
    <mergeCell ref="C8:C9"/>
    <mergeCell ref="D8:D9"/>
    <mergeCell ref="E8:E9"/>
    <mergeCell ref="F8:G9"/>
  </mergeCells>
  <printOptions horizontalCentered="1"/>
  <pageMargins left="0.751388888888889" right="0.751388888888889" top="1" bottom="1" header="0.5" footer="0.5"/>
  <pageSetup paperSize="9" scale="78" orientation="portrait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view="pageBreakPreview" zoomScaleNormal="100" topLeftCell="A26" workbookViewId="0">
      <selection activeCell="G12" sqref="G12:H12"/>
    </sheetView>
  </sheetViews>
  <sheetFormatPr defaultColWidth="9.14285714285714" defaultRowHeight="15.75"/>
  <cols>
    <col min="1" max="1" width="11.5714285714286" style="195" customWidth="1"/>
    <col min="2" max="6" width="12.5714285714286" style="195" customWidth="1"/>
    <col min="7" max="7" width="11" style="195" customWidth="1"/>
    <col min="8" max="8" width="11.7142857142857" style="195"/>
    <col min="9" max="9" width="9.14285714285714" style="195"/>
    <col min="10" max="10" width="15.2857142857143" style="195" customWidth="1"/>
    <col min="11" max="16384" width="9.14285714285714" style="195"/>
  </cols>
  <sheetData>
    <row r="1" s="195" customFormat="1" ht="72" customHeight="1" spans="1:9">
      <c r="A1" s="196" t="s">
        <v>0</v>
      </c>
      <c r="B1" s="196"/>
      <c r="C1" s="196"/>
      <c r="D1" s="196"/>
      <c r="E1" s="196"/>
      <c r="F1" s="196"/>
      <c r="G1" s="196"/>
      <c r="H1" s="196"/>
      <c r="I1" s="249"/>
    </row>
    <row r="2" s="195" customFormat="1" ht="26" customHeight="1" spans="1:9">
      <c r="A2" s="197" t="s">
        <v>1</v>
      </c>
      <c r="B2" s="197"/>
      <c r="C2" s="197"/>
      <c r="D2" s="197"/>
      <c r="E2" s="197"/>
      <c r="F2" s="197"/>
      <c r="G2" s="197"/>
      <c r="H2" s="197"/>
      <c r="I2" s="249"/>
    </row>
    <row r="3" s="195" customFormat="1" ht="28" customHeight="1" spans="1:9">
      <c r="A3" s="198" t="s">
        <v>90</v>
      </c>
      <c r="B3" s="199"/>
      <c r="C3" s="199"/>
      <c r="D3" s="199"/>
      <c r="E3" s="199"/>
      <c r="F3" s="199"/>
      <c r="G3" s="199"/>
      <c r="H3" s="200"/>
      <c r="I3" s="249"/>
    </row>
    <row r="4" s="195" customFormat="1" ht="84" customHeight="1" spans="1:8">
      <c r="A4" s="201" t="s">
        <v>3</v>
      </c>
      <c r="B4" s="202" t="str">
        <f>'ORÇAMENTO '!C4</f>
        <v>CONTRATAÇÃO DE EMPRESA DE ENGENHARIA CONSULTIVA PARA ELABORAÇÃO DE PROJETOS EXECUTIVOS DE TERRAPLENAGEM, PAVIMENTAÇÃO, DRENAGEM, PASSEIOS E SINALIZAÇÃO DE DIVERSAS RUAS  NO MUNICÍPIO DE CAMARAGIBE/PE.</v>
      </c>
      <c r="C4" s="202"/>
      <c r="D4" s="202"/>
      <c r="E4" s="202"/>
      <c r="F4" s="203"/>
      <c r="G4" s="204" t="s">
        <v>5</v>
      </c>
      <c r="H4" s="205">
        <v>0.2882</v>
      </c>
    </row>
    <row r="5" s="195" customFormat="1" ht="32" customHeight="1" spans="1:8">
      <c r="A5" s="201" t="s">
        <v>6</v>
      </c>
      <c r="B5" s="206" t="s">
        <v>7</v>
      </c>
      <c r="C5" s="206"/>
      <c r="D5" s="207"/>
      <c r="E5" s="207"/>
      <c r="F5" s="208"/>
      <c r="G5" s="208"/>
      <c r="H5" s="209"/>
    </row>
    <row r="6" s="195" customFormat="1" ht="49" customHeight="1" spans="1:8">
      <c r="A6" s="210" t="s">
        <v>8</v>
      </c>
      <c r="B6" s="206" t="s">
        <v>9</v>
      </c>
      <c r="C6" s="206"/>
      <c r="D6" s="207"/>
      <c r="E6" s="207"/>
      <c r="F6" s="208"/>
      <c r="G6" s="208"/>
      <c r="H6" s="209"/>
    </row>
    <row r="7" ht="25" customHeight="1" spans="1:9">
      <c r="A7" s="211" t="s">
        <v>91</v>
      </c>
      <c r="B7" s="211"/>
      <c r="C7" s="211"/>
      <c r="D7" s="211"/>
      <c r="E7" s="211"/>
      <c r="F7" s="211"/>
      <c r="G7" s="211"/>
      <c r="H7" s="211"/>
      <c r="I7" s="250"/>
    </row>
    <row r="8" ht="26" customHeight="1" spans="1:9">
      <c r="A8" s="54" t="s">
        <v>92</v>
      </c>
      <c r="B8" s="212" t="s">
        <v>93</v>
      </c>
      <c r="C8" s="213"/>
      <c r="D8" s="213"/>
      <c r="E8" s="213"/>
      <c r="F8" s="214"/>
      <c r="G8" s="215" t="s">
        <v>94</v>
      </c>
      <c r="H8" s="215"/>
      <c r="I8" s="250"/>
    </row>
    <row r="9" spans="1:9">
      <c r="A9" s="216" t="s">
        <v>95</v>
      </c>
      <c r="B9" s="217" t="s">
        <v>96</v>
      </c>
      <c r="C9" s="218"/>
      <c r="D9" s="218"/>
      <c r="E9" s="218"/>
      <c r="F9" s="219"/>
      <c r="G9" s="220">
        <f>H16</f>
        <v>100</v>
      </c>
      <c r="H9" s="221"/>
      <c r="I9" s="250"/>
    </row>
    <row r="10" spans="1:9">
      <c r="A10" s="216" t="s">
        <v>97</v>
      </c>
      <c r="B10" s="217" t="s">
        <v>96</v>
      </c>
      <c r="C10" s="218"/>
      <c r="D10" s="218"/>
      <c r="E10" s="218"/>
      <c r="F10" s="219"/>
      <c r="G10" s="220">
        <f>H17</f>
        <v>80</v>
      </c>
      <c r="H10" s="221"/>
      <c r="I10" s="250"/>
    </row>
    <row r="11" spans="1:9">
      <c r="A11" s="216" t="s">
        <v>95</v>
      </c>
      <c r="B11" s="217" t="s">
        <v>98</v>
      </c>
      <c r="C11" s="218"/>
      <c r="D11" s="218"/>
      <c r="E11" s="218"/>
      <c r="F11" s="219"/>
      <c r="G11" s="220">
        <f>H18</f>
        <v>4.5</v>
      </c>
      <c r="H11" s="221"/>
      <c r="I11" s="250"/>
    </row>
    <row r="12" ht="30" customHeight="1" spans="1:9">
      <c r="A12" s="222" t="s">
        <v>56</v>
      </c>
      <c r="B12" s="223"/>
      <c r="C12" s="223"/>
      <c r="D12" s="223"/>
      <c r="E12" s="223"/>
      <c r="F12" s="224"/>
      <c r="G12" s="225">
        <f>SUM(G9:H11)</f>
        <v>184.5</v>
      </c>
      <c r="H12" s="226"/>
      <c r="I12" s="250"/>
    </row>
    <row r="13" ht="27" customHeight="1" spans="1:9">
      <c r="A13" s="227" t="s">
        <v>99</v>
      </c>
      <c r="B13" s="227"/>
      <c r="C13" s="227"/>
      <c r="D13" s="227"/>
      <c r="E13" s="227"/>
      <c r="F13" s="227"/>
      <c r="G13" s="227"/>
      <c r="H13" s="227"/>
      <c r="I13" s="127"/>
    </row>
    <row r="14" spans="1:9">
      <c r="A14" s="63" t="s">
        <v>100</v>
      </c>
      <c r="B14" s="63" t="s">
        <v>101</v>
      </c>
      <c r="C14" s="54" t="s">
        <v>102</v>
      </c>
      <c r="D14" s="54"/>
      <c r="E14" s="54"/>
      <c r="F14" s="63" t="s">
        <v>103</v>
      </c>
      <c r="G14" s="63"/>
      <c r="H14" s="63"/>
      <c r="I14" s="127"/>
    </row>
    <row r="15" ht="27" customHeight="1" spans="1:9">
      <c r="A15" s="63"/>
      <c r="B15" s="63"/>
      <c r="C15" s="54">
        <v>1</v>
      </c>
      <c r="D15" s="54">
        <v>2</v>
      </c>
      <c r="E15" s="54">
        <v>3</v>
      </c>
      <c r="F15" s="54" t="s">
        <v>104</v>
      </c>
      <c r="G15" s="54" t="s">
        <v>105</v>
      </c>
      <c r="H15" s="54" t="s">
        <v>106</v>
      </c>
      <c r="I15" s="127"/>
    </row>
    <row r="16" spans="1:9">
      <c r="A16" s="216">
        <v>1</v>
      </c>
      <c r="B16" s="216" t="s">
        <v>95</v>
      </c>
      <c r="C16" s="221">
        <v>200</v>
      </c>
      <c r="D16" s="221">
        <v>100</v>
      </c>
      <c r="E16" s="221">
        <v>75</v>
      </c>
      <c r="F16" s="228">
        <f>SMALL(C16:E16,1)</f>
        <v>75</v>
      </c>
      <c r="G16" s="228">
        <f>AVERAGE(C16:E16)</f>
        <v>125</v>
      </c>
      <c r="H16" s="228">
        <f>(MEDIAN(C16:E16))</f>
        <v>100</v>
      </c>
      <c r="I16" s="127"/>
    </row>
    <row r="17" spans="1:9">
      <c r="A17" s="216">
        <v>2</v>
      </c>
      <c r="B17" s="216" t="s">
        <v>97</v>
      </c>
      <c r="C17" s="221">
        <v>80</v>
      </c>
      <c r="D17" s="221">
        <v>100</v>
      </c>
      <c r="E17" s="221">
        <v>60</v>
      </c>
      <c r="F17" s="228">
        <f>SMALL(C17:E17,1)</f>
        <v>60</v>
      </c>
      <c r="G17" s="228">
        <f>AVERAGE(C17:E17)</f>
        <v>80</v>
      </c>
      <c r="H17" s="228">
        <f>(MEDIAN(C17:E17))</f>
        <v>80</v>
      </c>
      <c r="I17" s="127"/>
    </row>
    <row r="18" spans="1:9">
      <c r="A18" s="229">
        <v>3</v>
      </c>
      <c r="B18" s="229" t="s">
        <v>107</v>
      </c>
      <c r="C18" s="230">
        <v>4.5</v>
      </c>
      <c r="D18" s="230">
        <v>4.5</v>
      </c>
      <c r="E18" s="230">
        <v>5</v>
      </c>
      <c r="F18" s="228">
        <f>SMALL(C18:E18,1)</f>
        <v>4.5</v>
      </c>
      <c r="G18" s="228">
        <f>AVERAGE(C18:E18)</f>
        <v>4.66666666666667</v>
      </c>
      <c r="H18" s="228">
        <f>(MEDIAN(C18:E18))</f>
        <v>4.5</v>
      </c>
      <c r="I18" s="127"/>
    </row>
    <row r="19" ht="22" customHeight="1" spans="1:9">
      <c r="A19" s="231" t="s">
        <v>108</v>
      </c>
      <c r="B19" s="231"/>
      <c r="C19" s="231"/>
      <c r="D19" s="231"/>
      <c r="E19" s="231"/>
      <c r="F19" s="231"/>
      <c r="G19" s="231"/>
      <c r="H19" s="231"/>
      <c r="I19" s="127"/>
    </row>
    <row r="20" ht="9" customHeight="1" spans="1:9">
      <c r="A20" s="232"/>
      <c r="B20" s="233"/>
      <c r="C20" s="233"/>
      <c r="D20" s="233"/>
      <c r="E20" s="233"/>
      <c r="F20" s="233"/>
      <c r="G20" s="233"/>
      <c r="H20" s="234"/>
      <c r="I20" s="127"/>
    </row>
    <row r="21" ht="26" customHeight="1" spans="1:9">
      <c r="A21" s="235" t="s">
        <v>109</v>
      </c>
      <c r="B21" s="235"/>
      <c r="C21" s="235"/>
      <c r="D21" s="235"/>
      <c r="E21" s="235"/>
      <c r="F21" s="235"/>
      <c r="G21" s="235"/>
      <c r="H21" s="235"/>
      <c r="I21" s="127"/>
    </row>
    <row r="22" spans="1:9">
      <c r="A22" s="236" t="s">
        <v>110</v>
      </c>
      <c r="B22" s="236"/>
      <c r="C22" s="236"/>
      <c r="D22" s="236"/>
      <c r="E22" s="236"/>
      <c r="F22" s="236"/>
      <c r="G22" s="236"/>
      <c r="H22" s="236"/>
      <c r="I22" s="127"/>
    </row>
    <row r="23" spans="1:9">
      <c r="A23" s="237" t="s">
        <v>111</v>
      </c>
      <c r="B23" s="238" t="s">
        <v>112</v>
      </c>
      <c r="C23" s="238"/>
      <c r="D23" s="238"/>
      <c r="E23" s="238"/>
      <c r="F23" s="238"/>
      <c r="G23" s="238"/>
      <c r="H23" s="238"/>
      <c r="I23" s="127"/>
    </row>
    <row r="24" spans="1:9">
      <c r="A24" s="237" t="s">
        <v>113</v>
      </c>
      <c r="B24" s="238" t="s">
        <v>114</v>
      </c>
      <c r="C24" s="238"/>
      <c r="D24" s="239" t="s">
        <v>115</v>
      </c>
      <c r="E24" s="238" t="s">
        <v>116</v>
      </c>
      <c r="F24" s="238"/>
      <c r="G24" s="238"/>
      <c r="H24" s="238"/>
      <c r="I24" s="127"/>
    </row>
    <row r="25" spans="1:9">
      <c r="A25" s="237" t="s">
        <v>117</v>
      </c>
      <c r="B25" s="240" t="s">
        <v>118</v>
      </c>
      <c r="C25" s="238"/>
      <c r="D25" s="238"/>
      <c r="E25" s="238"/>
      <c r="F25" s="238"/>
      <c r="G25" s="238"/>
      <c r="H25" s="238"/>
      <c r="I25" s="127"/>
    </row>
    <row r="26" spans="1:9">
      <c r="A26" s="241" t="s">
        <v>119</v>
      </c>
      <c r="B26" s="241"/>
      <c r="C26" s="241"/>
      <c r="D26" s="241"/>
      <c r="E26" s="241"/>
      <c r="F26" s="241"/>
      <c r="G26" s="241"/>
      <c r="H26" s="241"/>
      <c r="I26" s="127"/>
    </row>
    <row r="27" spans="1:9">
      <c r="A27" s="237" t="s">
        <v>111</v>
      </c>
      <c r="B27" s="238" t="s">
        <v>120</v>
      </c>
      <c r="C27" s="238"/>
      <c r="D27" s="238"/>
      <c r="E27" s="238"/>
      <c r="F27" s="238"/>
      <c r="G27" s="238"/>
      <c r="H27" s="238"/>
      <c r="I27" s="127"/>
    </row>
    <row r="28" spans="1:9">
      <c r="A28" s="237" t="s">
        <v>113</v>
      </c>
      <c r="B28" s="238" t="s">
        <v>121</v>
      </c>
      <c r="C28" s="238"/>
      <c r="D28" s="239" t="s">
        <v>115</v>
      </c>
      <c r="E28" s="238" t="s">
        <v>122</v>
      </c>
      <c r="F28" s="238"/>
      <c r="G28" s="238"/>
      <c r="H28" s="238"/>
      <c r="I28" s="127"/>
    </row>
    <row r="29" spans="1:9">
      <c r="A29" s="237" t="s">
        <v>117</v>
      </c>
      <c r="B29" s="240" t="s">
        <v>123</v>
      </c>
      <c r="C29" s="238"/>
      <c r="D29" s="238"/>
      <c r="E29" s="238"/>
      <c r="F29" s="238"/>
      <c r="G29" s="238"/>
      <c r="H29" s="238"/>
      <c r="I29" s="127"/>
    </row>
    <row r="30" spans="1:9">
      <c r="A30" s="236" t="s">
        <v>124</v>
      </c>
      <c r="B30" s="236"/>
      <c r="C30" s="236"/>
      <c r="D30" s="236"/>
      <c r="E30" s="236"/>
      <c r="F30" s="236"/>
      <c r="G30" s="236"/>
      <c r="H30" s="236"/>
      <c r="I30" s="127"/>
    </row>
    <row r="31" spans="1:9">
      <c r="A31" s="237" t="s">
        <v>111</v>
      </c>
      <c r="B31" s="238" t="s">
        <v>125</v>
      </c>
      <c r="C31" s="238"/>
      <c r="D31" s="238"/>
      <c r="E31" s="238"/>
      <c r="F31" s="238"/>
      <c r="G31" s="238"/>
      <c r="H31" s="238"/>
      <c r="I31" s="127"/>
    </row>
    <row r="32" spans="1:9">
      <c r="A32" s="237" t="s">
        <v>113</v>
      </c>
      <c r="B32" s="238" t="s">
        <v>126</v>
      </c>
      <c r="C32" s="238"/>
      <c r="D32" s="239" t="s">
        <v>115</v>
      </c>
      <c r="E32" s="238" t="s">
        <v>127</v>
      </c>
      <c r="F32" s="238"/>
      <c r="G32" s="238"/>
      <c r="H32" s="238"/>
      <c r="I32" s="127"/>
    </row>
    <row r="33" spans="1:9">
      <c r="A33" s="237" t="s">
        <v>117</v>
      </c>
      <c r="B33" s="238" t="s">
        <v>128</v>
      </c>
      <c r="C33" s="238"/>
      <c r="D33" s="238"/>
      <c r="E33" s="238"/>
      <c r="F33" s="238"/>
      <c r="G33" s="238"/>
      <c r="H33" s="238"/>
      <c r="I33" s="127"/>
    </row>
    <row r="34" ht="15" customHeight="1" spans="1:9">
      <c r="A34" s="242"/>
      <c r="B34" s="243"/>
      <c r="C34" s="243"/>
      <c r="D34" s="243"/>
      <c r="E34" s="243"/>
      <c r="F34" s="243"/>
      <c r="G34" s="243"/>
      <c r="H34" s="244"/>
      <c r="I34" s="127"/>
    </row>
    <row r="35" ht="15" customHeight="1" spans="1:8">
      <c r="A35" s="245" t="s">
        <v>66</v>
      </c>
      <c r="B35" s="246"/>
      <c r="C35" s="246"/>
      <c r="D35" s="246"/>
      <c r="E35" s="246"/>
      <c r="F35" s="246"/>
      <c r="G35" s="246"/>
      <c r="H35" s="247"/>
    </row>
    <row r="36" ht="9" customHeight="1" spans="1:8">
      <c r="A36" s="121"/>
      <c r="B36" s="42"/>
      <c r="C36" s="42"/>
      <c r="D36" s="42"/>
      <c r="E36" s="42"/>
      <c r="F36" s="42"/>
      <c r="G36" s="42"/>
      <c r="H36" s="248"/>
    </row>
    <row r="37" ht="15" customHeight="1" spans="1:8">
      <c r="A37" s="123" t="s">
        <v>67</v>
      </c>
      <c r="B37" s="124"/>
      <c r="C37" s="124"/>
      <c r="D37" s="124"/>
      <c r="E37" s="124"/>
      <c r="F37" s="124"/>
      <c r="G37" s="124"/>
      <c r="H37" s="125"/>
    </row>
  </sheetData>
  <mergeCells count="41">
    <mergeCell ref="A1:H1"/>
    <mergeCell ref="A2:H2"/>
    <mergeCell ref="A3:H3"/>
    <mergeCell ref="B4:F4"/>
    <mergeCell ref="B5:H5"/>
    <mergeCell ref="B6:H6"/>
    <mergeCell ref="A7:H7"/>
    <mergeCell ref="B8:F8"/>
    <mergeCell ref="G8:H8"/>
    <mergeCell ref="B9:F9"/>
    <mergeCell ref="G9:H9"/>
    <mergeCell ref="B10:F10"/>
    <mergeCell ref="G10:H10"/>
    <mergeCell ref="B11:F11"/>
    <mergeCell ref="G11:H11"/>
    <mergeCell ref="A12:F12"/>
    <mergeCell ref="G12:H12"/>
    <mergeCell ref="A13:H13"/>
    <mergeCell ref="C14:E14"/>
    <mergeCell ref="F14:H14"/>
    <mergeCell ref="A19:H19"/>
    <mergeCell ref="A21:H21"/>
    <mergeCell ref="A22:H22"/>
    <mergeCell ref="B23:H23"/>
    <mergeCell ref="B24:C24"/>
    <mergeCell ref="E24:H24"/>
    <mergeCell ref="B25:H25"/>
    <mergeCell ref="A26:H26"/>
    <mergeCell ref="B27:H27"/>
    <mergeCell ref="B28:C28"/>
    <mergeCell ref="E28:H28"/>
    <mergeCell ref="B29:H29"/>
    <mergeCell ref="A30:H30"/>
    <mergeCell ref="B31:H31"/>
    <mergeCell ref="B32:C32"/>
    <mergeCell ref="E32:H32"/>
    <mergeCell ref="B33:H33"/>
    <mergeCell ref="A35:H35"/>
    <mergeCell ref="A37:H37"/>
    <mergeCell ref="A14:A15"/>
    <mergeCell ref="B14:B15"/>
  </mergeCells>
  <hyperlinks>
    <hyperlink ref="B29" r:id="rId2" display="valeriacastrocosta@gmail.com"/>
    <hyperlink ref="B25" r:id="rId3" display="copymais@copymais.com.br&gt; (Janicleide Santos)"/>
  </hyperlinks>
  <printOptions horizontalCentered="1"/>
  <pageMargins left="0.751388888888889" right="0.751388888888889" top="1" bottom="1" header="0.5" footer="0.5"/>
  <pageSetup paperSize="9" scale="86" orientation="portrait" horizontalDpi="6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view="pageBreakPreview" zoomScale="73" zoomScaleNormal="100" topLeftCell="A5" workbookViewId="0">
      <selection activeCell="N20" sqref="N20"/>
    </sheetView>
  </sheetViews>
  <sheetFormatPr defaultColWidth="9" defaultRowHeight="15.75"/>
  <cols>
    <col min="1" max="1" width="11.1428571428571" style="41" customWidth="1"/>
    <col min="2" max="2" width="17" style="41" customWidth="1"/>
    <col min="3" max="3" width="27.2857142857143" style="41" customWidth="1"/>
    <col min="4" max="4" width="14" style="41" customWidth="1"/>
    <col min="5" max="5" width="13.7142857142857" style="41" customWidth="1"/>
    <col min="6" max="6" width="14.2857142857143" style="41" customWidth="1"/>
    <col min="7" max="7" width="14" style="41" customWidth="1"/>
    <col min="8" max="8" width="15" style="41" customWidth="1"/>
    <col min="9" max="10" width="23" style="41" customWidth="1"/>
    <col min="11" max="11" width="14.7142857142857" style="43" customWidth="1"/>
    <col min="12" max="16382" width="9" style="41"/>
    <col min="16383" max="16384" width="9" style="44"/>
  </cols>
  <sheetData>
    <row r="1" s="127" customFormat="1" ht="72" customHeight="1" spans="1:16384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74"/>
      <c r="XFC1" s="194"/>
      <c r="XFD1" s="194"/>
    </row>
    <row r="2" s="127" customFormat="1" ht="25" customHeight="1" spans="1:16384">
      <c r="A2" s="129" t="s">
        <v>129</v>
      </c>
      <c r="B2" s="129"/>
      <c r="C2" s="129"/>
      <c r="D2" s="129"/>
      <c r="E2" s="129"/>
      <c r="F2" s="129"/>
      <c r="G2" s="129"/>
      <c r="H2" s="129"/>
      <c r="I2" s="129"/>
      <c r="J2" s="129"/>
      <c r="K2" s="174"/>
      <c r="XFC2" s="194"/>
      <c r="XFD2" s="194"/>
    </row>
    <row r="3" s="127" customFormat="1" ht="25" customHeight="1" spans="1:16384">
      <c r="A3" s="130" t="s">
        <v>130</v>
      </c>
      <c r="B3" s="130"/>
      <c r="C3" s="130"/>
      <c r="D3" s="130"/>
      <c r="E3" s="130"/>
      <c r="F3" s="130"/>
      <c r="G3" s="130"/>
      <c r="H3" s="130"/>
      <c r="I3" s="130"/>
      <c r="J3" s="130"/>
      <c r="K3" s="174"/>
      <c r="XFC3" s="194"/>
      <c r="XFD3" s="194"/>
    </row>
    <row r="4" s="41" customFormat="1" ht="15" customHeight="1" spans="1:1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3"/>
    </row>
    <row r="5" s="41" customFormat="1" ht="50.25" customHeight="1" spans="1:11">
      <c r="A5" s="132" t="s">
        <v>3</v>
      </c>
      <c r="B5" s="132"/>
      <c r="C5" s="133" t="str">
        <f>'ORÇAMENTO '!C4</f>
        <v>CONTRATAÇÃO DE EMPRESA DE ENGENHARIA CONSULTIVA PARA ELABORAÇÃO DE PROJETOS EXECUTIVOS DE TERRAPLENAGEM, PAVIMENTAÇÃO, DRENAGEM, PASSEIOS E SINALIZAÇÃO DE DIVERSAS RUAS  NO MUNICÍPIO DE CAMARAGIBE/PE.</v>
      </c>
      <c r="D5" s="133"/>
      <c r="E5" s="133"/>
      <c r="F5" s="133"/>
      <c r="G5" s="133"/>
      <c r="H5" s="133"/>
      <c r="I5" s="133"/>
      <c r="J5" s="133"/>
      <c r="K5" s="43"/>
    </row>
    <row r="6" s="41" customFormat="1" ht="15" customHeight="1" spans="1:11">
      <c r="A6" s="134" t="s">
        <v>131</v>
      </c>
      <c r="B6" s="135"/>
      <c r="C6" s="136"/>
      <c r="D6" s="137" t="s">
        <v>132</v>
      </c>
      <c r="E6" s="138" t="s">
        <v>133</v>
      </c>
      <c r="F6" s="138"/>
      <c r="G6" s="138"/>
      <c r="H6" s="138"/>
      <c r="I6" s="175" t="s">
        <v>134</v>
      </c>
      <c r="J6" s="176" t="s">
        <v>135</v>
      </c>
      <c r="K6" s="43"/>
    </row>
    <row r="7" s="41" customFormat="1" ht="15" customHeight="1" spans="1:11">
      <c r="A7" s="139"/>
      <c r="B7" s="140"/>
      <c r="C7" s="141"/>
      <c r="D7" s="142"/>
      <c r="E7" s="54" t="s">
        <v>136</v>
      </c>
      <c r="F7" s="54" t="s">
        <v>137</v>
      </c>
      <c r="G7" s="54" t="s">
        <v>138</v>
      </c>
      <c r="H7" s="54" t="s">
        <v>139</v>
      </c>
      <c r="I7" s="177"/>
      <c r="J7" s="178"/>
      <c r="K7" s="43"/>
    </row>
    <row r="8" s="41" customFormat="1" ht="15" customHeight="1" spans="1:11">
      <c r="A8" s="143"/>
      <c r="B8" s="144"/>
      <c r="C8" s="145"/>
      <c r="D8" s="146"/>
      <c r="E8" s="147"/>
      <c r="F8" s="147"/>
      <c r="G8" s="147"/>
      <c r="H8" s="147"/>
      <c r="I8" s="179"/>
      <c r="J8" s="180"/>
      <c r="K8" s="43"/>
    </row>
    <row r="9" s="41" customFormat="1" ht="27" customHeight="1" spans="1:11">
      <c r="A9" s="148">
        <v>0.24</v>
      </c>
      <c r="B9" s="149" t="s">
        <v>140</v>
      </c>
      <c r="C9" s="150" t="s">
        <v>141</v>
      </c>
      <c r="D9" s="151">
        <v>0.08</v>
      </c>
      <c r="E9" s="152">
        <f>$I$9*75%</f>
        <v>12005.868</v>
      </c>
      <c r="F9" s="152">
        <f>$I$9*25%</f>
        <v>4001.956</v>
      </c>
      <c r="G9" s="153" t="s">
        <v>142</v>
      </c>
      <c r="H9" s="153" t="s">
        <v>142</v>
      </c>
      <c r="I9" s="181">
        <f>$D$22*8%</f>
        <v>16007.824</v>
      </c>
      <c r="J9" s="182">
        <f>TRUNC($D$22*A9,2)</f>
        <v>48023.47</v>
      </c>
      <c r="K9" s="183"/>
    </row>
    <row r="10" s="41" customFormat="1" ht="27" customHeight="1" spans="1:11">
      <c r="A10" s="55"/>
      <c r="B10" s="149"/>
      <c r="C10" s="57" t="s">
        <v>143</v>
      </c>
      <c r="D10" s="154">
        <v>0.08</v>
      </c>
      <c r="E10" s="152">
        <f>$I$9*75%</f>
        <v>12005.868</v>
      </c>
      <c r="F10" s="152">
        <f>$I$9*25%</f>
        <v>4001.956</v>
      </c>
      <c r="G10" s="59" t="s">
        <v>142</v>
      </c>
      <c r="H10" s="59" t="s">
        <v>142</v>
      </c>
      <c r="I10" s="181">
        <f>$D$22*8%</f>
        <v>16007.824</v>
      </c>
      <c r="J10" s="182"/>
      <c r="K10" s="183"/>
    </row>
    <row r="11" s="41" customFormat="1" ht="27" customHeight="1" spans="1:11">
      <c r="A11" s="55"/>
      <c r="B11" s="149"/>
      <c r="C11" s="57" t="s">
        <v>144</v>
      </c>
      <c r="D11" s="154">
        <v>0.08</v>
      </c>
      <c r="E11" s="152">
        <f>$I$9*75%</f>
        <v>12005.868</v>
      </c>
      <c r="F11" s="152">
        <f>$I$9*25%</f>
        <v>4001.956</v>
      </c>
      <c r="G11" s="59" t="s">
        <v>142</v>
      </c>
      <c r="H11" s="59" t="s">
        <v>142</v>
      </c>
      <c r="I11" s="181">
        <f>$D$22*8%</f>
        <v>16007.824</v>
      </c>
      <c r="J11" s="184"/>
      <c r="K11" s="43"/>
    </row>
    <row r="12" s="41" customFormat="1" ht="27" customHeight="1" spans="1:11">
      <c r="A12" s="55">
        <v>0.63</v>
      </c>
      <c r="B12" s="155" t="s">
        <v>145</v>
      </c>
      <c r="C12" s="57" t="s">
        <v>146</v>
      </c>
      <c r="D12" s="154">
        <v>0.11</v>
      </c>
      <c r="E12" s="59" t="s">
        <v>142</v>
      </c>
      <c r="F12" s="156">
        <f t="shared" ref="F12:F17" si="0">I12/3</f>
        <v>7336.91933333333</v>
      </c>
      <c r="G12" s="156">
        <f t="shared" ref="G12:G17" si="1">I12/3</f>
        <v>7336.91933333333</v>
      </c>
      <c r="H12" s="156">
        <f t="shared" ref="H12:H17" si="2">I12/3</f>
        <v>7336.91933333333</v>
      </c>
      <c r="I12" s="181">
        <f>$D$22*11%</f>
        <v>22010.758</v>
      </c>
      <c r="J12" s="185">
        <f>TRUNC($D$22*A12,2)</f>
        <v>126061.61</v>
      </c>
      <c r="K12" s="43"/>
    </row>
    <row r="13" s="41" customFormat="1" ht="27" customHeight="1" spans="1:11">
      <c r="A13" s="55"/>
      <c r="B13" s="149"/>
      <c r="C13" s="57" t="s">
        <v>147</v>
      </c>
      <c r="D13" s="154">
        <v>0.11</v>
      </c>
      <c r="E13" s="59" t="s">
        <v>142</v>
      </c>
      <c r="F13" s="156">
        <f t="shared" si="0"/>
        <v>7336.91933333333</v>
      </c>
      <c r="G13" s="156">
        <f t="shared" si="1"/>
        <v>7336.91933333333</v>
      </c>
      <c r="H13" s="156">
        <f t="shared" si="2"/>
        <v>7336.91933333333</v>
      </c>
      <c r="I13" s="181">
        <f>$D$22*11%</f>
        <v>22010.758</v>
      </c>
      <c r="J13" s="182"/>
      <c r="K13" s="43"/>
    </row>
    <row r="14" s="41" customFormat="1" ht="27" customHeight="1" spans="1:11">
      <c r="A14" s="55"/>
      <c r="B14" s="149"/>
      <c r="C14" s="57" t="s">
        <v>148</v>
      </c>
      <c r="D14" s="154">
        <v>0.15</v>
      </c>
      <c r="E14" s="59" t="s">
        <v>142</v>
      </c>
      <c r="F14" s="156">
        <f t="shared" si="0"/>
        <v>10004.89</v>
      </c>
      <c r="G14" s="156">
        <f t="shared" si="1"/>
        <v>10004.89</v>
      </c>
      <c r="H14" s="156">
        <f t="shared" si="2"/>
        <v>10004.89</v>
      </c>
      <c r="I14" s="181">
        <f>$D$22*15%</f>
        <v>30014.67</v>
      </c>
      <c r="J14" s="182"/>
      <c r="K14" s="43"/>
    </row>
    <row r="15" s="41" customFormat="1" ht="27" customHeight="1" spans="1:11">
      <c r="A15" s="60"/>
      <c r="B15" s="149"/>
      <c r="C15" s="57" t="s">
        <v>149</v>
      </c>
      <c r="D15" s="154">
        <v>0.15</v>
      </c>
      <c r="E15" s="59" t="s">
        <v>142</v>
      </c>
      <c r="F15" s="156">
        <f t="shared" si="0"/>
        <v>10004.89</v>
      </c>
      <c r="G15" s="156">
        <f t="shared" si="1"/>
        <v>10004.89</v>
      </c>
      <c r="H15" s="156">
        <f t="shared" si="2"/>
        <v>10004.89</v>
      </c>
      <c r="I15" s="181">
        <f>$D$22*15%</f>
        <v>30014.67</v>
      </c>
      <c r="J15" s="182"/>
      <c r="K15" s="43"/>
    </row>
    <row r="16" s="41" customFormat="1" ht="27" customHeight="1" spans="1:11">
      <c r="A16" s="60"/>
      <c r="B16" s="149"/>
      <c r="C16" s="57" t="s">
        <v>150</v>
      </c>
      <c r="D16" s="154">
        <v>0.11</v>
      </c>
      <c r="E16" s="59" t="s">
        <v>142</v>
      </c>
      <c r="F16" s="156">
        <f t="shared" si="0"/>
        <v>7336.91933333333</v>
      </c>
      <c r="G16" s="156">
        <f t="shared" si="1"/>
        <v>7336.91933333333</v>
      </c>
      <c r="H16" s="156">
        <f t="shared" si="2"/>
        <v>7336.91933333333</v>
      </c>
      <c r="I16" s="181">
        <f>$D$22*11%</f>
        <v>22010.758</v>
      </c>
      <c r="J16" s="184"/>
      <c r="K16" s="43"/>
    </row>
    <row r="17" s="41" customFormat="1" ht="27" customHeight="1" spans="1:11">
      <c r="A17" s="157">
        <v>0.13</v>
      </c>
      <c r="B17" s="155" t="s">
        <v>151</v>
      </c>
      <c r="C17" s="158" t="s">
        <v>152</v>
      </c>
      <c r="D17" s="154">
        <v>0.13</v>
      </c>
      <c r="E17" s="59" t="s">
        <v>142</v>
      </c>
      <c r="F17" s="156">
        <f t="shared" si="0"/>
        <v>8670.90466666667</v>
      </c>
      <c r="G17" s="156">
        <f t="shared" si="1"/>
        <v>8670.90466666667</v>
      </c>
      <c r="H17" s="156">
        <f t="shared" si="2"/>
        <v>8670.90466666667</v>
      </c>
      <c r="I17" s="181">
        <f>$D$22*13%</f>
        <v>26012.714</v>
      </c>
      <c r="J17" s="186">
        <f>TRUNC($D$22*A17,2)</f>
        <v>26012.71</v>
      </c>
      <c r="K17" s="43"/>
    </row>
    <row r="18" s="41" customFormat="1" ht="18" customHeight="1" spans="1:11">
      <c r="A18" s="159" t="s">
        <v>153</v>
      </c>
      <c r="B18" s="160"/>
      <c r="C18" s="161"/>
      <c r="D18" s="162">
        <f>SUM(D9:D17)</f>
        <v>1</v>
      </c>
      <c r="E18" s="162">
        <f>E19/I18</f>
        <v>0.18</v>
      </c>
      <c r="F18" s="162">
        <f>F19/I18</f>
        <v>0.313333333333333</v>
      </c>
      <c r="G18" s="162">
        <f>G19/I18</f>
        <v>0.253333333333333</v>
      </c>
      <c r="H18" s="162">
        <f>H19/I18</f>
        <v>0.253333333333333</v>
      </c>
      <c r="I18" s="187">
        <f>E19+F19+G19+H19</f>
        <v>200097.8</v>
      </c>
      <c r="J18" s="188"/>
      <c r="K18" s="43"/>
    </row>
    <row r="19" s="41" customFormat="1" ht="29" customHeight="1" spans="1:11">
      <c r="A19" s="163"/>
      <c r="B19" s="164"/>
      <c r="C19" s="165"/>
      <c r="D19" s="166"/>
      <c r="E19" s="167">
        <f>SUM(E9:E17)</f>
        <v>36017.604</v>
      </c>
      <c r="F19" s="167">
        <f>SUM(F9:F17)</f>
        <v>62697.3106666667</v>
      </c>
      <c r="G19" s="167">
        <f>SUM(G9:G17)</f>
        <v>50691.4426666667</v>
      </c>
      <c r="H19" s="167">
        <f>SUM(H9:H17)</f>
        <v>50691.4426666667</v>
      </c>
      <c r="I19" s="189"/>
      <c r="J19" s="190"/>
      <c r="K19" s="75">
        <f>E18+F18+G18+H18</f>
        <v>1</v>
      </c>
    </row>
    <row r="20" s="41" customFormat="1" ht="53" customHeight="1" spans="1:11">
      <c r="A20" s="168" t="s">
        <v>66</v>
      </c>
      <c r="B20" s="169"/>
      <c r="C20" s="169"/>
      <c r="D20" s="169"/>
      <c r="E20" s="169"/>
      <c r="F20" s="169"/>
      <c r="G20" s="169"/>
      <c r="H20" s="169"/>
      <c r="I20" s="169"/>
      <c r="J20" s="191"/>
      <c r="K20" s="43"/>
    </row>
    <row r="21" s="41" customFormat="1" ht="29" customHeight="1" spans="1:11">
      <c r="A21" s="170" t="s">
        <v>67</v>
      </c>
      <c r="B21" s="171"/>
      <c r="C21" s="171"/>
      <c r="D21" s="171"/>
      <c r="E21" s="171"/>
      <c r="F21" s="171"/>
      <c r="G21" s="171"/>
      <c r="H21" s="171"/>
      <c r="I21" s="171"/>
      <c r="J21" s="192"/>
      <c r="K21" s="43"/>
    </row>
    <row r="22" s="41" customFormat="1" spans="4:11">
      <c r="D22" s="172">
        <f>'ORÇAMENTO '!I31</f>
        <v>200097.8</v>
      </c>
      <c r="K22" s="43"/>
    </row>
    <row r="23" s="41" customFormat="1" spans="1:11">
      <c r="A23" s="173"/>
      <c r="B23" s="173"/>
      <c r="D23" s="75">
        <f>E18+F18+G18+H18</f>
        <v>1</v>
      </c>
      <c r="H23" s="41">
        <f>E19+F19+G19+H19</f>
        <v>200097.8</v>
      </c>
      <c r="I23" s="193"/>
      <c r="J23" s="41">
        <f>D22-I18</f>
        <v>0</v>
      </c>
      <c r="K23" s="43"/>
    </row>
    <row r="24" spans="5:5">
      <c r="E24" s="75"/>
    </row>
  </sheetData>
  <mergeCells count="26">
    <mergeCell ref="A1:J1"/>
    <mergeCell ref="A2:J2"/>
    <mergeCell ref="A3:J3"/>
    <mergeCell ref="A4:J4"/>
    <mergeCell ref="A5:B5"/>
    <mergeCell ref="C5:J5"/>
    <mergeCell ref="E6:H6"/>
    <mergeCell ref="A20:J20"/>
    <mergeCell ref="A21:J21"/>
    <mergeCell ref="A9:A11"/>
    <mergeCell ref="A12:A16"/>
    <mergeCell ref="B9:B11"/>
    <mergeCell ref="B12:B16"/>
    <mergeCell ref="D6:D8"/>
    <mergeCell ref="D18:D19"/>
    <mergeCell ref="E7:E8"/>
    <mergeCell ref="F7:F8"/>
    <mergeCell ref="G7:G8"/>
    <mergeCell ref="H7:H8"/>
    <mergeCell ref="I6:I8"/>
    <mergeCell ref="J6:J8"/>
    <mergeCell ref="J9:J11"/>
    <mergeCell ref="J12:J16"/>
    <mergeCell ref="I18:J19"/>
    <mergeCell ref="A6:C8"/>
    <mergeCell ref="A18:C19"/>
  </mergeCells>
  <printOptions horizontalCentered="1"/>
  <pageMargins left="0.251388888888889" right="0.251388888888889" top="0.751388888888889" bottom="0.751388888888889" header="0.298611111111111" footer="0.298611111111111"/>
  <pageSetup paperSize="9" scale="82" orientation="landscape" horizontalDpi="6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K42"/>
  <sheetViews>
    <sheetView view="pageBreakPreview" zoomScaleNormal="100" topLeftCell="A28" workbookViewId="0">
      <selection activeCell="H33" sqref="H33"/>
    </sheetView>
  </sheetViews>
  <sheetFormatPr defaultColWidth="9.14285714285714" defaultRowHeight="15.75"/>
  <cols>
    <col min="1" max="1" width="10.7142857142857" style="87" customWidth="1"/>
    <col min="2" max="2" width="47.4285714285714" style="87" customWidth="1"/>
    <col min="3" max="3" width="28.1428571428571" style="88" customWidth="1"/>
    <col min="4" max="4" width="15.2857142857143" style="87" customWidth="1"/>
    <col min="5" max="5" width="13" style="87" customWidth="1"/>
    <col min="6" max="6" width="14.4285714285714" style="87" customWidth="1"/>
    <col min="7" max="7" width="13.2857142857143" style="87"/>
    <col min="8" max="31" width="9.14285714285714" style="87"/>
    <col min="32" max="63" width="48.8571428571429" style="87"/>
    <col min="64" max="16384" width="48.8571428571429" style="85"/>
  </cols>
  <sheetData>
    <row r="1" ht="71" customHeight="1" spans="1:7">
      <c r="A1" s="89" t="s">
        <v>0</v>
      </c>
      <c r="B1" s="89"/>
      <c r="C1" s="89"/>
      <c r="D1" s="89"/>
      <c r="E1" s="89"/>
      <c r="F1" s="89"/>
      <c r="G1" s="90"/>
    </row>
    <row r="2" ht="20" customHeight="1" spans="1:7">
      <c r="A2" s="89" t="s">
        <v>154</v>
      </c>
      <c r="B2" s="89"/>
      <c r="C2" s="89"/>
      <c r="D2" s="89"/>
      <c r="E2" s="89"/>
      <c r="F2" s="89"/>
      <c r="G2" s="90"/>
    </row>
    <row r="3" ht="25" customHeight="1" spans="1:6">
      <c r="A3" s="91" t="s">
        <v>155</v>
      </c>
      <c r="B3" s="91"/>
      <c r="C3" s="91"/>
      <c r="D3" s="91"/>
      <c r="E3" s="91"/>
      <c r="F3" s="91"/>
    </row>
    <row r="4" ht="18" customHeight="1" spans="1:6">
      <c r="A4" s="92"/>
      <c r="B4" s="92"/>
      <c r="C4" s="93"/>
      <c r="D4" s="92"/>
      <c r="E4" s="92"/>
      <c r="F4" s="92"/>
    </row>
    <row r="5" ht="60" customHeight="1" spans="1:6">
      <c r="A5" s="94" t="str">
        <f>'ORÇAMENTO '!A4</f>
        <v>OBJETO:</v>
      </c>
      <c r="B5" s="95" t="str">
        <f>'ORÇAMENTO '!C4</f>
        <v>CONTRATAÇÃO DE EMPRESA DE ENGENHARIA CONSULTIVA PARA ELABORAÇÃO DE PROJETOS EXECUTIVOS DE TERRAPLENAGEM, PAVIMENTAÇÃO, DRENAGEM, PASSEIOS E SINALIZAÇÃO DE DIVERSAS RUAS  NO MUNICÍPIO DE CAMARAGIBE/PE.</v>
      </c>
      <c r="C5" s="95"/>
      <c r="D5" s="95"/>
      <c r="E5" s="95"/>
      <c r="F5" s="95"/>
    </row>
    <row r="6" ht="42" customHeight="1" spans="1:6">
      <c r="A6" s="96" t="s">
        <v>156</v>
      </c>
      <c r="B6" s="96" t="s">
        <v>157</v>
      </c>
      <c r="C6" s="96" t="s">
        <v>158</v>
      </c>
      <c r="D6" s="97" t="s">
        <v>159</v>
      </c>
      <c r="E6" s="97" t="s">
        <v>160</v>
      </c>
      <c r="F6" s="97" t="s">
        <v>161</v>
      </c>
    </row>
    <row r="7" ht="27" customHeight="1" spans="1:6">
      <c r="A7" s="98" t="s">
        <v>162</v>
      </c>
      <c r="B7" s="99"/>
      <c r="C7" s="99"/>
      <c r="D7" s="99"/>
      <c r="E7" s="99"/>
      <c r="F7" s="100"/>
    </row>
    <row r="8" ht="33" customHeight="1" spans="1:6">
      <c r="A8" s="101">
        <v>1</v>
      </c>
      <c r="B8" s="102" t="s">
        <v>163</v>
      </c>
      <c r="C8" s="103" t="s">
        <v>164</v>
      </c>
      <c r="D8" s="104">
        <v>241</v>
      </c>
      <c r="E8" s="105">
        <v>8.5</v>
      </c>
      <c r="F8" s="105">
        <f t="shared" ref="F8:F31" si="0">PRODUCT(D8:E8)</f>
        <v>2048.5</v>
      </c>
    </row>
    <row r="9" ht="33" customHeight="1" spans="1:6">
      <c r="A9" s="101">
        <v>2</v>
      </c>
      <c r="B9" s="102" t="s">
        <v>165</v>
      </c>
      <c r="C9" s="103" t="s">
        <v>164</v>
      </c>
      <c r="D9" s="104">
        <v>210</v>
      </c>
      <c r="E9" s="105">
        <v>7</v>
      </c>
      <c r="F9" s="105">
        <f t="shared" si="0"/>
        <v>1470</v>
      </c>
    </row>
    <row r="10" s="85" customFormat="1" ht="33" customHeight="1" spans="1:63">
      <c r="A10" s="101">
        <v>3</v>
      </c>
      <c r="B10" s="102" t="s">
        <v>166</v>
      </c>
      <c r="C10" s="103" t="s">
        <v>167</v>
      </c>
      <c r="D10" s="104">
        <v>226</v>
      </c>
      <c r="E10" s="105">
        <v>7</v>
      </c>
      <c r="F10" s="105">
        <f t="shared" si="0"/>
        <v>1582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</row>
    <row r="11" ht="33" customHeight="1" spans="1:6">
      <c r="A11" s="101">
        <v>4</v>
      </c>
      <c r="B11" s="102" t="s">
        <v>168</v>
      </c>
      <c r="C11" s="103" t="s">
        <v>169</v>
      </c>
      <c r="D11" s="104">
        <v>275</v>
      </c>
      <c r="E11" s="105">
        <v>5.5</v>
      </c>
      <c r="F11" s="105">
        <f t="shared" si="0"/>
        <v>1512.5</v>
      </c>
    </row>
    <row r="12" ht="33" customHeight="1" spans="1:6">
      <c r="A12" s="101">
        <v>5</v>
      </c>
      <c r="B12" s="102" t="s">
        <v>170</v>
      </c>
      <c r="C12" s="103" t="s">
        <v>169</v>
      </c>
      <c r="D12" s="104">
        <v>122</v>
      </c>
      <c r="E12" s="105">
        <v>5.5</v>
      </c>
      <c r="F12" s="105">
        <f t="shared" si="0"/>
        <v>671</v>
      </c>
    </row>
    <row r="13" ht="33" customHeight="1" spans="1:6">
      <c r="A13" s="101">
        <v>6</v>
      </c>
      <c r="B13" s="102" t="s">
        <v>171</v>
      </c>
      <c r="C13" s="103" t="s">
        <v>172</v>
      </c>
      <c r="D13" s="104">
        <v>331</v>
      </c>
      <c r="E13" s="105">
        <v>8.5</v>
      </c>
      <c r="F13" s="105">
        <f t="shared" si="0"/>
        <v>2813.5</v>
      </c>
    </row>
    <row r="14" ht="33" customHeight="1" spans="1:6">
      <c r="A14" s="101">
        <v>7</v>
      </c>
      <c r="B14" s="107" t="s">
        <v>173</v>
      </c>
      <c r="C14" s="108" t="s">
        <v>174</v>
      </c>
      <c r="D14" s="104">
        <v>420</v>
      </c>
      <c r="E14" s="105">
        <v>6</v>
      </c>
      <c r="F14" s="105">
        <f t="shared" si="0"/>
        <v>2520</v>
      </c>
    </row>
    <row r="15" ht="33" customHeight="1" spans="1:6">
      <c r="A15" s="101">
        <v>8</v>
      </c>
      <c r="B15" s="102" t="s">
        <v>175</v>
      </c>
      <c r="C15" s="108" t="s">
        <v>176</v>
      </c>
      <c r="D15" s="104">
        <v>360</v>
      </c>
      <c r="E15" s="105">
        <v>7</v>
      </c>
      <c r="F15" s="105">
        <f t="shared" si="0"/>
        <v>2520</v>
      </c>
    </row>
    <row r="16" ht="33" customHeight="1" spans="1:6">
      <c r="A16" s="101">
        <v>9</v>
      </c>
      <c r="B16" s="102" t="s">
        <v>177</v>
      </c>
      <c r="C16" s="108" t="s">
        <v>176</v>
      </c>
      <c r="D16" s="104">
        <v>315</v>
      </c>
      <c r="E16" s="105">
        <v>5.2</v>
      </c>
      <c r="F16" s="105">
        <f t="shared" si="0"/>
        <v>1638</v>
      </c>
    </row>
    <row r="17" ht="33" customHeight="1" spans="1:6">
      <c r="A17" s="101">
        <v>10</v>
      </c>
      <c r="B17" s="102" t="s">
        <v>178</v>
      </c>
      <c r="C17" s="108" t="s">
        <v>164</v>
      </c>
      <c r="D17" s="104">
        <v>146</v>
      </c>
      <c r="E17" s="105">
        <v>6.3</v>
      </c>
      <c r="F17" s="105">
        <f t="shared" si="0"/>
        <v>919.8</v>
      </c>
    </row>
    <row r="18" ht="33" customHeight="1" spans="1:6">
      <c r="A18" s="101">
        <v>11</v>
      </c>
      <c r="B18" s="102" t="s">
        <v>179</v>
      </c>
      <c r="C18" s="108" t="s">
        <v>164</v>
      </c>
      <c r="D18" s="104">
        <v>115</v>
      </c>
      <c r="E18" s="105">
        <v>6</v>
      </c>
      <c r="F18" s="105">
        <f t="shared" si="0"/>
        <v>690</v>
      </c>
    </row>
    <row r="19" ht="33" customHeight="1" spans="1:6">
      <c r="A19" s="101">
        <v>12</v>
      </c>
      <c r="B19" s="102" t="s">
        <v>180</v>
      </c>
      <c r="C19" s="103" t="s">
        <v>181</v>
      </c>
      <c r="D19" s="104">
        <v>256</v>
      </c>
      <c r="E19" s="105">
        <v>6</v>
      </c>
      <c r="F19" s="105">
        <f t="shared" si="0"/>
        <v>1536</v>
      </c>
    </row>
    <row r="20" ht="33" customHeight="1" spans="1:6">
      <c r="A20" s="101">
        <v>13</v>
      </c>
      <c r="B20" s="102" t="s">
        <v>182</v>
      </c>
      <c r="C20" s="103" t="s">
        <v>183</v>
      </c>
      <c r="D20" s="104">
        <v>730</v>
      </c>
      <c r="E20" s="105">
        <v>7</v>
      </c>
      <c r="F20" s="105">
        <f t="shared" si="0"/>
        <v>5110</v>
      </c>
    </row>
    <row r="21" ht="33" customHeight="1" spans="1:6">
      <c r="A21" s="101">
        <v>14</v>
      </c>
      <c r="B21" s="102" t="s">
        <v>184</v>
      </c>
      <c r="C21" s="103" t="s">
        <v>185</v>
      </c>
      <c r="D21" s="104">
        <v>152</v>
      </c>
      <c r="E21" s="105">
        <v>4.6</v>
      </c>
      <c r="F21" s="105">
        <f t="shared" si="0"/>
        <v>699.2</v>
      </c>
    </row>
    <row r="22" ht="36" customHeight="1" spans="1:6">
      <c r="A22" s="101">
        <v>15</v>
      </c>
      <c r="B22" s="107" t="s">
        <v>186</v>
      </c>
      <c r="C22" s="103" t="s">
        <v>187</v>
      </c>
      <c r="D22" s="104">
        <v>1070</v>
      </c>
      <c r="E22" s="105">
        <v>11</v>
      </c>
      <c r="F22" s="105">
        <f t="shared" si="0"/>
        <v>11770</v>
      </c>
    </row>
    <row r="23" ht="31" customHeight="1" spans="1:6">
      <c r="A23" s="101">
        <v>16</v>
      </c>
      <c r="B23" s="102" t="s">
        <v>188</v>
      </c>
      <c r="C23" s="108" t="s">
        <v>189</v>
      </c>
      <c r="D23" s="104">
        <v>42</v>
      </c>
      <c r="E23" s="105">
        <v>7</v>
      </c>
      <c r="F23" s="105">
        <f t="shared" si="0"/>
        <v>294</v>
      </c>
    </row>
    <row r="24" ht="31" customHeight="1" spans="1:6">
      <c r="A24" s="101">
        <v>17</v>
      </c>
      <c r="B24" s="102" t="s">
        <v>190</v>
      </c>
      <c r="C24" s="108" t="s">
        <v>164</v>
      </c>
      <c r="D24" s="104">
        <v>210</v>
      </c>
      <c r="E24" s="105">
        <v>5.5</v>
      </c>
      <c r="F24" s="105">
        <f t="shared" si="0"/>
        <v>1155</v>
      </c>
    </row>
    <row r="25" ht="36" customHeight="1" spans="1:6">
      <c r="A25" s="101">
        <v>18</v>
      </c>
      <c r="B25" s="107" t="s">
        <v>191</v>
      </c>
      <c r="C25" s="108" t="s">
        <v>192</v>
      </c>
      <c r="D25" s="104">
        <v>378</v>
      </c>
      <c r="E25" s="105">
        <v>9</v>
      </c>
      <c r="F25" s="105">
        <f t="shared" si="0"/>
        <v>3402</v>
      </c>
    </row>
    <row r="26" ht="30" customHeight="1" spans="1:6">
      <c r="A26" s="101">
        <v>19</v>
      </c>
      <c r="B26" s="102" t="s">
        <v>193</v>
      </c>
      <c r="C26" s="108" t="s">
        <v>192</v>
      </c>
      <c r="D26" s="104">
        <v>100</v>
      </c>
      <c r="E26" s="105">
        <v>8.6</v>
      </c>
      <c r="F26" s="105">
        <f t="shared" si="0"/>
        <v>860</v>
      </c>
    </row>
    <row r="27" s="85" customFormat="1" ht="30" customHeight="1" spans="1:63">
      <c r="A27" s="101">
        <v>20</v>
      </c>
      <c r="B27" s="102" t="s">
        <v>194</v>
      </c>
      <c r="C27" s="103" t="s">
        <v>185</v>
      </c>
      <c r="D27" s="104">
        <v>102</v>
      </c>
      <c r="E27" s="105">
        <v>7</v>
      </c>
      <c r="F27" s="105">
        <f t="shared" si="0"/>
        <v>714</v>
      </c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="85" customFormat="1" ht="30" customHeight="1" spans="1:63">
      <c r="A28" s="101">
        <v>21</v>
      </c>
      <c r="B28" s="102" t="s">
        <v>195</v>
      </c>
      <c r="C28" s="103" t="s">
        <v>167</v>
      </c>
      <c r="D28" s="104">
        <v>88</v>
      </c>
      <c r="E28" s="105">
        <v>9</v>
      </c>
      <c r="F28" s="105">
        <f t="shared" si="0"/>
        <v>792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="86" customFormat="1" ht="30" customHeight="1" spans="1:63">
      <c r="A29" s="101">
        <v>22</v>
      </c>
      <c r="B29" s="102" t="s">
        <v>196</v>
      </c>
      <c r="C29" s="103" t="s">
        <v>197</v>
      </c>
      <c r="D29" s="104">
        <v>190</v>
      </c>
      <c r="E29" s="105">
        <v>8.5</v>
      </c>
      <c r="F29" s="105">
        <f t="shared" si="0"/>
        <v>1615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</row>
    <row r="30" s="85" customFormat="1" ht="30" customHeight="1" spans="1:63">
      <c r="A30" s="101">
        <v>23</v>
      </c>
      <c r="B30" s="102" t="s">
        <v>198</v>
      </c>
      <c r="C30" s="103" t="s">
        <v>199</v>
      </c>
      <c r="D30" s="104">
        <v>267</v>
      </c>
      <c r="E30" s="105">
        <v>6</v>
      </c>
      <c r="F30" s="105">
        <f t="shared" si="0"/>
        <v>1602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="85" customFormat="1" ht="30" customHeight="1" spans="1:63">
      <c r="A31" s="101">
        <v>24</v>
      </c>
      <c r="B31" s="102" t="s">
        <v>200</v>
      </c>
      <c r="C31" s="108" t="s">
        <v>192</v>
      </c>
      <c r="D31" s="104">
        <v>309</v>
      </c>
      <c r="E31" s="105">
        <v>8</v>
      </c>
      <c r="F31" s="105">
        <f t="shared" si="0"/>
        <v>2472</v>
      </c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ht="24" customHeight="1" spans="1:6">
      <c r="A32" s="110" t="s">
        <v>201</v>
      </c>
      <c r="B32" s="110"/>
      <c r="C32" s="111"/>
      <c r="D32" s="112">
        <f>SUM(D8:D31)</f>
        <v>6655</v>
      </c>
      <c r="E32" s="112">
        <f>SUM(E8:E31)</f>
        <v>169.7</v>
      </c>
      <c r="F32" s="113">
        <f>D32*E32</f>
        <v>1129353.5</v>
      </c>
    </row>
    <row r="33" s="85" customFormat="1" ht="24" customHeight="1" spans="1:63">
      <c r="A33" s="114" t="s">
        <v>202</v>
      </c>
      <c r="B33" s="114"/>
      <c r="C33" s="115"/>
      <c r="D33" s="116">
        <f>ROUND(D32/1000,2)</f>
        <v>6.66</v>
      </c>
      <c r="E33" s="116"/>
      <c r="F33" s="11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</row>
    <row r="34" s="85" customFormat="1" ht="35" customHeight="1" spans="1:63">
      <c r="A34" s="117" t="s">
        <v>66</v>
      </c>
      <c r="B34" s="118"/>
      <c r="C34" s="118"/>
      <c r="D34" s="118"/>
      <c r="E34" s="118"/>
      <c r="F34" s="119"/>
      <c r="G34" s="120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</row>
    <row r="35" s="85" customFormat="1" ht="6" customHeight="1" spans="1:63">
      <c r="A35" s="121"/>
      <c r="B35" s="42"/>
      <c r="C35" s="42"/>
      <c r="D35" s="42"/>
      <c r="E35" s="42"/>
      <c r="F35" s="122"/>
      <c r="G35" s="42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</row>
    <row r="36" s="85" customFormat="1" ht="27" customHeight="1" spans="1:63">
      <c r="A36" s="123" t="s">
        <v>67</v>
      </c>
      <c r="B36" s="124"/>
      <c r="C36" s="124"/>
      <c r="D36" s="124"/>
      <c r="E36" s="124"/>
      <c r="F36" s="125"/>
      <c r="G36" s="120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</row>
    <row r="37" s="85" customFormat="1" spans="1:63">
      <c r="A37" s="87"/>
      <c r="B37" s="87"/>
      <c r="C37" s="88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</row>
    <row r="38" s="85" customFormat="1" spans="1:63">
      <c r="A38" s="87"/>
      <c r="B38" s="87"/>
      <c r="C38" s="88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</row>
    <row r="39" s="85" customFormat="1" spans="1:63">
      <c r="A39" s="87"/>
      <c r="B39" s="87"/>
      <c r="C39" s="88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</row>
    <row r="40" s="85" customFormat="1" spans="1:63">
      <c r="A40" s="87"/>
      <c r="B40" s="87"/>
      <c r="C40" s="88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</row>
    <row r="41" s="85" customFormat="1" spans="1:63">
      <c r="A41" s="87"/>
      <c r="B41" s="87"/>
      <c r="C41" s="88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</row>
    <row r="42" spans="6:6">
      <c r="F42" s="126"/>
    </row>
  </sheetData>
  <mergeCells count="11">
    <mergeCell ref="A1:F1"/>
    <mergeCell ref="A2:F2"/>
    <mergeCell ref="A3:F3"/>
    <mergeCell ref="A4:F4"/>
    <mergeCell ref="B5:F5"/>
    <mergeCell ref="A7:F7"/>
    <mergeCell ref="A32:C32"/>
    <mergeCell ref="A33:C33"/>
    <mergeCell ref="D33:F33"/>
    <mergeCell ref="A34:F34"/>
    <mergeCell ref="A36:F36"/>
  </mergeCells>
  <printOptions horizontalCentered="1"/>
  <pageMargins left="0.251388888888889" right="0.251388888888889" top="0.751388888888889" bottom="0.751388888888889" header="0.298611111111111" footer="0.298611111111111"/>
  <pageSetup paperSize="9" scale="64" orientation="portrait" horizontalDpi="6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XFC26"/>
  <sheetViews>
    <sheetView view="pageBreakPreview" zoomScaleNormal="77" topLeftCell="A5" workbookViewId="0">
      <selection activeCell="J17" sqref="J17"/>
    </sheetView>
  </sheetViews>
  <sheetFormatPr defaultColWidth="9" defaultRowHeight="15.75"/>
  <cols>
    <col min="1" max="2" width="0.857142857142857" style="42" customWidth="1"/>
    <col min="3" max="3" width="11.1428571428571" style="41" customWidth="1"/>
    <col min="4" max="4" width="17" style="41" customWidth="1"/>
    <col min="5" max="5" width="27.2857142857143" style="41" customWidth="1"/>
    <col min="6" max="9" width="14.8571428571429" style="41" customWidth="1"/>
    <col min="10" max="10" width="14.7142857142857" style="43" customWidth="1"/>
    <col min="11" max="16381" width="9" style="41"/>
    <col min="16382" max="16383" width="9" style="44"/>
    <col min="16384" max="16384" width="9" style="42"/>
  </cols>
  <sheetData>
    <row r="1" ht="71" customHeight="1" spans="3:9">
      <c r="C1" s="45" t="s">
        <v>0</v>
      </c>
      <c r="D1" s="45"/>
      <c r="E1" s="45"/>
      <c r="F1" s="45"/>
      <c r="G1" s="45"/>
      <c r="H1" s="45"/>
      <c r="I1" s="45"/>
    </row>
    <row r="2" ht="23" customHeight="1" spans="3:9">
      <c r="C2" s="45" t="s">
        <v>154</v>
      </c>
      <c r="D2" s="45"/>
      <c r="E2" s="45"/>
      <c r="F2" s="45"/>
      <c r="G2" s="45"/>
      <c r="H2" s="45"/>
      <c r="I2" s="45"/>
    </row>
    <row r="3" ht="22" customHeight="1" spans="3:9">
      <c r="C3" s="46" t="s">
        <v>203</v>
      </c>
      <c r="D3" s="46"/>
      <c r="E3" s="46"/>
      <c r="F3" s="46"/>
      <c r="G3" s="46"/>
      <c r="H3" s="46"/>
      <c r="I3" s="46"/>
    </row>
    <row r="4" ht="69" customHeight="1" spans="3:9">
      <c r="C4" s="47" t="str">
        <f>'ORÇAMENTO '!A4</f>
        <v>OBJETO:</v>
      </c>
      <c r="D4" s="47"/>
      <c r="E4" s="48" t="str">
        <f>'ORÇAMENTO '!C4</f>
        <v>CONTRATAÇÃO DE EMPRESA DE ENGENHARIA CONSULTIVA PARA ELABORAÇÃO DE PROJETOS EXECUTIVOS DE TERRAPLENAGEM, PAVIMENTAÇÃO, DRENAGEM, PASSEIOS E SINALIZAÇÃO DE DIVERSAS RUAS  NO MUNICÍPIO DE CAMARAGIBE/PE.</v>
      </c>
      <c r="F4" s="48"/>
      <c r="G4" s="48"/>
      <c r="H4" s="48"/>
      <c r="I4" s="48"/>
    </row>
    <row r="5" s="41" customFormat="1" ht="23" customHeight="1" spans="3:10">
      <c r="C5" s="49" t="s">
        <v>131</v>
      </c>
      <c r="D5" s="50"/>
      <c r="E5" s="50"/>
      <c r="F5" s="51" t="s">
        <v>133</v>
      </c>
      <c r="G5" s="51"/>
      <c r="H5" s="51"/>
      <c r="I5" s="76"/>
      <c r="J5" s="43"/>
    </row>
    <row r="6" s="41" customFormat="1" ht="15" customHeight="1" spans="3:10">
      <c r="C6" s="52"/>
      <c r="D6" s="53"/>
      <c r="E6" s="53"/>
      <c r="F6" s="54" t="s">
        <v>136</v>
      </c>
      <c r="G6" s="54" t="s">
        <v>137</v>
      </c>
      <c r="H6" s="54" t="s">
        <v>138</v>
      </c>
      <c r="I6" s="77" t="s">
        <v>139</v>
      </c>
      <c r="J6" s="43"/>
    </row>
    <row r="7" s="41" customFormat="1" ht="13" customHeight="1" spans="3:10">
      <c r="C7" s="52"/>
      <c r="D7" s="53"/>
      <c r="E7" s="53"/>
      <c r="F7" s="54"/>
      <c r="G7" s="54"/>
      <c r="H7" s="54"/>
      <c r="I7" s="77"/>
      <c r="J7" s="43"/>
    </row>
    <row r="8" s="41" customFormat="1" ht="24" customHeight="1" spans="3:10">
      <c r="C8" s="55">
        <v>0.24</v>
      </c>
      <c r="D8" s="56" t="s">
        <v>204</v>
      </c>
      <c r="E8" s="57" t="s">
        <v>141</v>
      </c>
      <c r="F8" s="58" t="s">
        <v>205</v>
      </c>
      <c r="G8" s="58" t="s">
        <v>206</v>
      </c>
      <c r="H8" s="59" t="s">
        <v>142</v>
      </c>
      <c r="I8" s="78" t="s">
        <v>142</v>
      </c>
      <c r="J8" s="43"/>
    </row>
    <row r="9" s="41" customFormat="1" ht="24" customHeight="1" spans="3:10">
      <c r="C9" s="55"/>
      <c r="D9" s="56"/>
      <c r="E9" s="57" t="s">
        <v>207</v>
      </c>
      <c r="F9" s="58"/>
      <c r="G9" s="58"/>
      <c r="H9" s="59" t="s">
        <v>142</v>
      </c>
      <c r="I9" s="78" t="s">
        <v>142</v>
      </c>
      <c r="J9" s="43"/>
    </row>
    <row r="10" s="41" customFormat="1" ht="24" customHeight="1" spans="3:10">
      <c r="C10" s="55"/>
      <c r="D10" s="56"/>
      <c r="E10" s="57" t="s">
        <v>208</v>
      </c>
      <c r="F10" s="58"/>
      <c r="G10" s="58"/>
      <c r="H10" s="59" t="s">
        <v>142</v>
      </c>
      <c r="I10" s="78" t="s">
        <v>142</v>
      </c>
      <c r="J10" s="43"/>
    </row>
    <row r="11" s="41" customFormat="1" ht="24" customHeight="1" spans="3:10">
      <c r="C11" s="55">
        <v>0.63</v>
      </c>
      <c r="D11" s="56" t="s">
        <v>209</v>
      </c>
      <c r="E11" s="57" t="s">
        <v>210</v>
      </c>
      <c r="F11" s="59" t="s">
        <v>142</v>
      </c>
      <c r="G11" s="58" t="s">
        <v>211</v>
      </c>
      <c r="H11" s="58" t="s">
        <v>212</v>
      </c>
      <c r="I11" s="79" t="s">
        <v>213</v>
      </c>
      <c r="J11" s="43"/>
    </row>
    <row r="12" s="41" customFormat="1" ht="24" customHeight="1" spans="3:10">
      <c r="C12" s="55"/>
      <c r="D12" s="56"/>
      <c r="E12" s="57" t="s">
        <v>147</v>
      </c>
      <c r="F12" s="59" t="s">
        <v>142</v>
      </c>
      <c r="G12" s="58"/>
      <c r="H12" s="58"/>
      <c r="I12" s="79"/>
      <c r="J12" s="43"/>
    </row>
    <row r="13" s="41" customFormat="1" ht="24" customHeight="1" spans="3:10">
      <c r="C13" s="55"/>
      <c r="D13" s="56"/>
      <c r="E13" s="57" t="s">
        <v>214</v>
      </c>
      <c r="F13" s="59" t="s">
        <v>142</v>
      </c>
      <c r="G13" s="58"/>
      <c r="H13" s="58"/>
      <c r="I13" s="79"/>
      <c r="J13" s="43"/>
    </row>
    <row r="14" s="41" customFormat="1" ht="24" customHeight="1" spans="3:10">
      <c r="C14" s="60"/>
      <c r="D14" s="56"/>
      <c r="E14" s="57" t="s">
        <v>149</v>
      </c>
      <c r="F14" s="59" t="s">
        <v>142</v>
      </c>
      <c r="G14" s="58"/>
      <c r="H14" s="58"/>
      <c r="I14" s="79"/>
      <c r="J14" s="43"/>
    </row>
    <row r="15" s="41" customFormat="1" ht="24" customHeight="1" spans="3:10">
      <c r="C15" s="60"/>
      <c r="D15" s="56"/>
      <c r="E15" s="57" t="s">
        <v>150</v>
      </c>
      <c r="F15" s="59" t="s">
        <v>142</v>
      </c>
      <c r="G15" s="58"/>
      <c r="H15" s="58"/>
      <c r="I15" s="79"/>
      <c r="J15" s="43"/>
    </row>
    <row r="16" s="41" customFormat="1" ht="24" customHeight="1" spans="3:10">
      <c r="C16" s="55">
        <v>0.13</v>
      </c>
      <c r="D16" s="61" t="s">
        <v>151</v>
      </c>
      <c r="E16" s="57" t="s">
        <v>215</v>
      </c>
      <c r="F16" s="59" t="s">
        <v>142</v>
      </c>
      <c r="G16" s="58"/>
      <c r="H16" s="58"/>
      <c r="I16" s="79"/>
      <c r="J16" s="43"/>
    </row>
    <row r="17" s="41" customFormat="1" ht="18" customHeight="1" spans="3:10">
      <c r="C17" s="62" t="s">
        <v>153</v>
      </c>
      <c r="D17" s="63"/>
      <c r="E17" s="63"/>
      <c r="F17" s="64">
        <v>0.18</v>
      </c>
      <c r="G17" s="64">
        <v>0.3133</v>
      </c>
      <c r="H17" s="64">
        <v>0.253333333333333</v>
      </c>
      <c r="I17" s="80">
        <v>0.253333333333333</v>
      </c>
      <c r="J17" s="75"/>
    </row>
    <row r="18" s="41" customFormat="1" ht="21" customHeight="1" spans="3:10">
      <c r="C18" s="65"/>
      <c r="D18" s="66"/>
      <c r="E18" s="66"/>
      <c r="F18" s="67">
        <f>F17+G17+H17+I17</f>
        <v>0.999966666666666</v>
      </c>
      <c r="G18" s="67"/>
      <c r="H18" s="67"/>
      <c r="I18" s="81"/>
      <c r="J18" s="43"/>
    </row>
    <row r="19" s="41" customFormat="1" spans="3:10">
      <c r="C19" s="68"/>
      <c r="D19" s="69"/>
      <c r="E19" s="69"/>
      <c r="F19" s="69"/>
      <c r="G19" s="70"/>
      <c r="H19" s="69"/>
      <c r="I19" s="82"/>
      <c r="J19" s="43"/>
    </row>
    <row r="20" s="41" customFormat="1" spans="3:10">
      <c r="C20" s="71" t="s">
        <v>66</v>
      </c>
      <c r="D20" s="72"/>
      <c r="E20" s="72"/>
      <c r="F20" s="72"/>
      <c r="G20" s="72"/>
      <c r="H20" s="72"/>
      <c r="I20" s="83"/>
      <c r="J20" s="43"/>
    </row>
    <row r="21" s="41" customFormat="1" spans="3:10">
      <c r="C21" s="73" t="s">
        <v>67</v>
      </c>
      <c r="D21" s="74"/>
      <c r="E21" s="74"/>
      <c r="F21" s="74"/>
      <c r="G21" s="74"/>
      <c r="H21" s="74"/>
      <c r="I21" s="84"/>
      <c r="J21" s="43"/>
    </row>
    <row r="22" s="41" customFormat="1" spans="6:16383">
      <c r="F22" s="75"/>
      <c r="J22" s="43"/>
      <c r="XFB22" s="44"/>
      <c r="XFC22" s="44"/>
    </row>
    <row r="23" spans="3:3">
      <c r="C23" s="75">
        <f>C8+C11+C16</f>
        <v>1</v>
      </c>
    </row>
    <row r="26" spans="6:9">
      <c r="F26" s="75"/>
      <c r="G26" s="75"/>
      <c r="H26" s="75"/>
      <c r="I26" s="75"/>
    </row>
  </sheetData>
  <mergeCells count="24">
    <mergeCell ref="C1:I1"/>
    <mergeCell ref="C2:I2"/>
    <mergeCell ref="C3:I3"/>
    <mergeCell ref="C4:D4"/>
    <mergeCell ref="E4:I4"/>
    <mergeCell ref="F5:I5"/>
    <mergeCell ref="F18:I18"/>
    <mergeCell ref="C20:I20"/>
    <mergeCell ref="C21:I21"/>
    <mergeCell ref="C8:C10"/>
    <mergeCell ref="C11:C15"/>
    <mergeCell ref="D8:D10"/>
    <mergeCell ref="D11:D15"/>
    <mergeCell ref="F6:F7"/>
    <mergeCell ref="F8:F10"/>
    <mergeCell ref="G6:G7"/>
    <mergeCell ref="G8:G10"/>
    <mergeCell ref="G11:G16"/>
    <mergeCell ref="H6:H7"/>
    <mergeCell ref="H11:H16"/>
    <mergeCell ref="I6:I7"/>
    <mergeCell ref="I11:I16"/>
    <mergeCell ref="C5:E7"/>
    <mergeCell ref="C17:E18"/>
  </mergeCells>
  <printOptions horizontalCentered="1"/>
  <pageMargins left="0.251388888888889" right="0.251388888888889" top="0.751388888888889" bottom="0.751388888888889" header="0.298611111111111" footer="0.298611111111111"/>
  <pageSetup paperSize="9" scale="89" orientation="landscape" horizontalDpi="6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view="pageBreakPreview" zoomScaleNormal="100" topLeftCell="A12" workbookViewId="0">
      <selection activeCell="A5" sqref="A5:D5"/>
    </sheetView>
  </sheetViews>
  <sheetFormatPr defaultColWidth="8" defaultRowHeight="12.75" outlineLevelCol="3"/>
  <cols>
    <col min="1" max="1" width="21.1428571428571" style="1" customWidth="1"/>
    <col min="2" max="2" width="24.8571428571429" style="1" customWidth="1"/>
    <col min="3" max="3" width="57.4285714285714" style="1" customWidth="1"/>
    <col min="4" max="4" width="46.5714285714286" style="1" customWidth="1"/>
    <col min="5" max="16384" width="8" style="1"/>
  </cols>
  <sheetData>
    <row r="1" s="1" customFormat="1" ht="96.75" customHeight="1" spans="1:4">
      <c r="A1" s="2" t="s">
        <v>0</v>
      </c>
      <c r="B1" s="3"/>
      <c r="C1" s="3"/>
      <c r="D1" s="4"/>
    </row>
    <row r="2" s="1" customFormat="1" ht="45.75" customHeight="1" spans="1:4">
      <c r="A2" s="5" t="s">
        <v>216</v>
      </c>
      <c r="B2" s="6"/>
      <c r="C2" s="6"/>
      <c r="D2" s="7"/>
    </row>
    <row r="3" s="1" customFormat="1" ht="60.75" customHeight="1" spans="1:4">
      <c r="A3" s="8" t="s">
        <v>3</v>
      </c>
      <c r="B3" s="9" t="str">
        <f>'ORÇAMENTO '!C4</f>
        <v>CONTRATAÇÃO DE EMPRESA DE ENGENHARIA CONSULTIVA PARA ELABORAÇÃO DE PROJETOS EXECUTIVOS DE TERRAPLENAGEM, PAVIMENTAÇÃO, DRENAGEM, PASSEIOS E SINALIZAÇÃO DE DIVERSAS RUAS  NO MUNICÍPIO DE CAMARAGIBE/PE.</v>
      </c>
      <c r="C3" s="10"/>
      <c r="D3" s="11"/>
    </row>
    <row r="4" s="1" customFormat="1" ht="31.5" customHeight="1" spans="1:4">
      <c r="A4" s="8" t="s">
        <v>6</v>
      </c>
      <c r="B4" s="12" t="str">
        <f>'ORÇAMENTO '!C5</f>
        <v>DIVERSAS RUAS DO MUNICIPIO DE CAMARAGIBE-PE.</v>
      </c>
      <c r="C4" s="13"/>
      <c r="D4" s="14"/>
    </row>
    <row r="5" s="1" customFormat="1" ht="30.75" customHeight="1" spans="1:4">
      <c r="A5" s="15" t="s">
        <v>217</v>
      </c>
      <c r="B5" s="16"/>
      <c r="C5" s="16"/>
      <c r="D5" s="17"/>
    </row>
    <row r="6" s="1" customFormat="1" ht="39.75" customHeight="1" spans="1:4">
      <c r="A6" s="18" t="s">
        <v>218</v>
      </c>
      <c r="B6" s="19"/>
      <c r="C6" s="20" t="s">
        <v>219</v>
      </c>
      <c r="D6" s="21"/>
    </row>
    <row r="7" s="1" customFormat="1" ht="52.5" customHeight="1" spans="1:4">
      <c r="A7" s="22" t="s">
        <v>220</v>
      </c>
      <c r="B7" s="23" t="s">
        <v>221</v>
      </c>
      <c r="C7" s="24">
        <v>0.03</v>
      </c>
      <c r="D7" s="25"/>
    </row>
    <row r="8" s="1" customFormat="1" ht="36.75" customHeight="1" spans="1:4">
      <c r="A8" s="26" t="s">
        <v>222</v>
      </c>
      <c r="B8" s="23" t="s">
        <v>223</v>
      </c>
      <c r="C8" s="24">
        <v>0.0097</v>
      </c>
      <c r="D8" s="25"/>
    </row>
    <row r="9" s="1" customFormat="1" ht="44.25" customHeight="1" spans="1:4">
      <c r="A9" s="22" t="s">
        <v>224</v>
      </c>
      <c r="B9" s="23" t="s">
        <v>225</v>
      </c>
      <c r="C9" s="24">
        <v>0.008</v>
      </c>
      <c r="D9" s="25"/>
    </row>
    <row r="10" s="1" customFormat="1" ht="48" customHeight="1" spans="1:4">
      <c r="A10" s="22" t="s">
        <v>226</v>
      </c>
      <c r="B10" s="23" t="s">
        <v>227</v>
      </c>
      <c r="C10" s="24">
        <v>0.0059</v>
      </c>
      <c r="D10" s="25"/>
    </row>
    <row r="11" s="1" customFormat="1" ht="36.75" customHeight="1" spans="1:4">
      <c r="A11" s="26" t="s">
        <v>228</v>
      </c>
      <c r="B11" s="23" t="s">
        <v>229</v>
      </c>
      <c r="C11" s="24">
        <v>0.0616</v>
      </c>
      <c r="D11" s="25"/>
    </row>
    <row r="12" s="1" customFormat="1" ht="62.25" customHeight="1" spans="1:4">
      <c r="A12" s="22" t="s">
        <v>230</v>
      </c>
      <c r="B12" s="23" t="s">
        <v>231</v>
      </c>
      <c r="C12" s="24">
        <v>0.0865</v>
      </c>
      <c r="D12" s="25"/>
    </row>
    <row r="13" s="1" customFormat="1" ht="129.75" customHeight="1" spans="1:4">
      <c r="A13" s="22" t="s">
        <v>232</v>
      </c>
      <c r="B13" s="23"/>
      <c r="C13" s="24">
        <v>0.045</v>
      </c>
      <c r="D13" s="25"/>
    </row>
    <row r="14" s="1" customFormat="1" ht="39.75" customHeight="1" spans="1:4">
      <c r="A14" s="26" t="s">
        <v>233</v>
      </c>
      <c r="B14" s="20" t="s">
        <v>233</v>
      </c>
      <c r="C14" s="27">
        <f>((((1+(C7+C8+C9))*(1+C10)*(1+C11))/(1-(C12+C13)))-1)*100</f>
        <v>28.8198648345423</v>
      </c>
      <c r="D14" s="28"/>
    </row>
    <row r="15" s="1" customFormat="1" ht="40.5" customHeight="1" spans="1:4">
      <c r="A15" s="29" t="s">
        <v>234</v>
      </c>
      <c r="B15" s="30"/>
      <c r="C15" s="30"/>
      <c r="D15" s="31"/>
    </row>
    <row r="16" s="1" customFormat="1" spans="1:4">
      <c r="A16" s="32"/>
      <c r="B16" s="33"/>
      <c r="C16" s="33"/>
      <c r="D16" s="34"/>
    </row>
    <row r="17" s="1" customFormat="1" spans="1:4">
      <c r="A17" s="32"/>
      <c r="B17" s="33"/>
      <c r="C17" s="33"/>
      <c r="D17" s="34"/>
    </row>
    <row r="18" s="1" customFormat="1" spans="1:4">
      <c r="A18" s="32"/>
      <c r="B18" s="33"/>
      <c r="C18" s="33"/>
      <c r="D18" s="34"/>
    </row>
    <row r="19" s="1" customFormat="1" ht="13.5" spans="1:4">
      <c r="A19" s="35"/>
      <c r="B19" s="36"/>
      <c r="C19" s="36"/>
      <c r="D19" s="37"/>
    </row>
    <row r="21" s="1" customFormat="1" spans="1:3">
      <c r="A21" s="38"/>
      <c r="B21" s="38"/>
      <c r="C21" s="38"/>
    </row>
    <row r="22" s="1" customFormat="1" ht="15.75" spans="1:3">
      <c r="A22" s="38"/>
      <c r="B22" s="39"/>
      <c r="C22" s="38"/>
    </row>
    <row r="23" s="1" customFormat="1" ht="15.75" spans="1:3">
      <c r="A23" s="38"/>
      <c r="B23" s="40"/>
      <c r="C23" s="38"/>
    </row>
    <row r="24" s="1" customFormat="1" ht="15.75" spans="1:3">
      <c r="A24" s="38"/>
      <c r="B24" s="39"/>
      <c r="C24" s="38"/>
    </row>
    <row r="25" s="1" customFormat="1" ht="15.75" spans="1:3">
      <c r="A25" s="38"/>
      <c r="B25" s="39"/>
      <c r="C25" s="38"/>
    </row>
    <row r="26" s="1" customFormat="1" ht="15.75" spans="1:3">
      <c r="A26" s="38"/>
      <c r="B26" s="40"/>
      <c r="C26" s="38"/>
    </row>
    <row r="27" s="1" customFormat="1" ht="15.75" spans="1:3">
      <c r="A27" s="38"/>
      <c r="B27" s="39"/>
      <c r="C27" s="38"/>
    </row>
    <row r="28" s="1" customFormat="1" ht="15.75" spans="1:3">
      <c r="A28" s="38"/>
      <c r="B28" s="39"/>
      <c r="C28" s="38"/>
    </row>
    <row r="29" s="1" customFormat="1" ht="15.75" spans="1:3">
      <c r="A29" s="38"/>
      <c r="B29" s="40"/>
      <c r="C29" s="38"/>
    </row>
    <row r="30" s="1" customFormat="1" spans="1:3">
      <c r="A30" s="38"/>
      <c r="B30" s="38"/>
      <c r="C30" s="38"/>
    </row>
    <row r="31" s="1" customFormat="1" spans="1:3">
      <c r="A31" s="38"/>
      <c r="B31" s="38"/>
      <c r="C31" s="38"/>
    </row>
    <row r="32" s="1" customFormat="1" spans="1:3">
      <c r="A32" s="38"/>
      <c r="B32" s="38"/>
      <c r="C32" s="38"/>
    </row>
    <row r="33" s="1" customFormat="1" spans="1:3">
      <c r="A33" s="38"/>
      <c r="B33" s="38"/>
      <c r="C33" s="38"/>
    </row>
  </sheetData>
  <mergeCells count="17">
    <mergeCell ref="A1:D1"/>
    <mergeCell ref="A2:D2"/>
    <mergeCell ref="B3:D3"/>
    <mergeCell ref="B4:D4"/>
    <mergeCell ref="A5:D5"/>
    <mergeCell ref="A6:B6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A15:D15"/>
    <mergeCell ref="B12:B13"/>
  </mergeCells>
  <pageMargins left="0.75" right="0.75" top="1" bottom="1" header="0.5" footer="0.5"/>
  <pageSetup paperSize="9" scale="57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ORÇAMENTO </vt:lpstr>
      <vt:lpstr>COMPOSIÇÃO E MEMORIA</vt:lpstr>
      <vt:lpstr>COTAÇÃO IMPRESSÕES</vt:lpstr>
      <vt:lpstr>CRONOGRAMA</vt:lpstr>
      <vt:lpstr>RUAS PARA PROJETO</vt:lpstr>
      <vt:lpstr>ETAPAS DE ENTREGA DOS PROJETOS</vt:lpstr>
      <vt:lpstr>BDI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 Louise</dc:creator>
  <cp:lastModifiedBy>clouise</cp:lastModifiedBy>
  <cp:revision>2</cp:revision>
  <dcterms:created xsi:type="dcterms:W3CDTF">2019-08-27T15:02:00Z</dcterms:created>
  <cp:lastPrinted>2020-04-14T12:17:00Z</cp:lastPrinted>
  <dcterms:modified xsi:type="dcterms:W3CDTF">2021-02-25T18:50:51Z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1046-11.2.0.9984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