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SECAD\LICITAÇÃO\CPL 2025\1- PROCESSOS LICITATÓRIOS\PL 166.2025 - CE 001.2025 - SEINFRA - LIMPEZA URBANA\1. ETP, TR, MINUTA DO CONTRATO\ORÇAMENTOS\"/>
    </mc:Choice>
  </mc:AlternateContent>
  <xr:revisionPtr revIDLastSave="0" documentId="13_ncr:1_{F3354B11-FACA-43C5-92CA-5AFDE79DE162}" xr6:coauthVersionLast="47" xr6:coauthVersionMax="47" xr10:uidLastSave="{00000000-0000-0000-0000-000000000000}"/>
  <bookViews>
    <workbookView xWindow="-120" yWindow="-120" windowWidth="29040" windowHeight="15840" tabRatio="822" xr2:uid="{00000000-000D-0000-FFFF-FFFF00000000}"/>
  </bookViews>
  <sheets>
    <sheet name="RESUMO" sheetId="23" r:id="rId1"/>
    <sheet name="CRONOGRAMA" sheetId="221" r:id="rId2"/>
    <sheet name="DADOS" sheetId="166" r:id="rId3"/>
    <sheet name="Planilha3" sheetId="223" state="hidden" r:id="rId4"/>
    <sheet name="LUBRIF" sheetId="224" r:id="rId5"/>
    <sheet name="COLETOR" sheetId="1" r:id="rId6"/>
    <sheet name="VARREDOR" sheetId="2" r:id="rId7"/>
    <sheet name="MOTORISTA" sheetId="5" r:id="rId8"/>
    <sheet name="ENC I" sheetId="131" r:id="rId9"/>
    <sheet name="AGENTE" sheetId="136" r:id="rId10"/>
    <sheet name="GER I" sheetId="137" r:id="rId11"/>
    <sheet name="VIGIA" sheetId="144" r:id="rId12"/>
    <sheet name="Estagiário" sheetId="211" r:id="rId13"/>
    <sheet name="VAN" sheetId="210" r:id="rId14"/>
    <sheet name="REBOQUE" sheetId="219" r:id="rId15"/>
    <sheet name="BAÚ" sheetId="212" r:id="rId16"/>
    <sheet name="BASCULANTE 6" sheetId="6" r:id="rId17"/>
    <sheet name="basc 12m3" sheetId="203" r:id="rId18"/>
    <sheet name="comp 8" sheetId="209" r:id="rId19"/>
    <sheet name="RESERVA8" sheetId="220" r:id="rId20"/>
    <sheet name="COMPACTADOR 15 m3" sheetId="36" r:id="rId21"/>
    <sheet name="Cavalo" sheetId="170" state="hidden" r:id="rId22"/>
    <sheet name="Carreta" sheetId="171" state="hidden" r:id="rId23"/>
    <sheet name="COMP NOTURNO" sheetId="196" r:id="rId24"/>
    <sheet name="reserva15" sheetId="205" r:id="rId25"/>
    <sheet name="CAMP TRANSP" sheetId="208" r:id="rId26"/>
    <sheet name="comp transp 8" sheetId="217" r:id="rId27"/>
    <sheet name="retro" sheetId="206" r:id="rId28"/>
    <sheet name="VARRIÇÃO" sheetId="51" r:id="rId29"/>
    <sheet name="DOMICILIAR" sheetId="17" r:id="rId30"/>
    <sheet name="volumosos" sheetId="84" r:id="rId31"/>
    <sheet name="vol1" sheetId="204" r:id="rId32"/>
    <sheet name="Podação" sheetId="66" r:id="rId33"/>
    <sheet name="ENSACADA" sheetId="201" r:id="rId34"/>
    <sheet name="SELETIVA" sheetId="213" r:id="rId35"/>
    <sheet name="CAPINAÇÃO" sheetId="9" r:id="rId36"/>
    <sheet name="pintura" sheetId="107" r:id="rId37"/>
    <sheet name="diversos" sheetId="90" r:id="rId38"/>
    <sheet name="TRANSB" sheetId="163" state="hidden" r:id="rId39"/>
    <sheet name="TRANSP" sheetId="207" r:id="rId40"/>
    <sheet name="Adm1" sheetId="106" r:id="rId41"/>
    <sheet name="Planilha2" sheetId="222" r:id="rId42"/>
    <sheet name="Encargos" sheetId="72" r:id="rId43"/>
    <sheet name="BDI" sheetId="158" r:id="rId44"/>
  </sheets>
  <externalReferences>
    <externalReference r:id="rId45"/>
  </externalReferences>
  <definedNames>
    <definedName name="_xlnm.Print_Area" localSheetId="40">'Adm1'!$A$1:$D$183</definedName>
    <definedName name="_xlnm.Print_Area" localSheetId="9">AGENTE!$A$1:$C$58</definedName>
    <definedName name="_xlnm.Print_Area" localSheetId="17">'basc 12m3'!$A$1:$C$64</definedName>
    <definedName name="_xlnm.Print_Area" localSheetId="16">'BASCULANTE 6'!$A$1:$C$63</definedName>
    <definedName name="_xlnm.Print_Area" localSheetId="15">BAÚ!$A$1:$C$62</definedName>
    <definedName name="_xlnm.Print_Area" localSheetId="43">BDI!$A$1:$C$17</definedName>
    <definedName name="_xlnm.Print_Area" localSheetId="25">'CAMP TRANSP'!$A$1:$C$62</definedName>
    <definedName name="_xlnm.Print_Area" localSheetId="35">CAPINAÇÃO!$A$1:$E$90</definedName>
    <definedName name="_xlnm.Print_Area" localSheetId="22">Carreta!$A$1:$C$61</definedName>
    <definedName name="_xlnm.Print_Area" localSheetId="21">Cavalo!$A$1:$C$61</definedName>
    <definedName name="_xlnm.Print_Area" localSheetId="5">COLETOR!$A$6:$C$59</definedName>
    <definedName name="_xlnm.Print_Area" localSheetId="18">'comp 8'!$A$1:$C$62</definedName>
    <definedName name="_xlnm.Print_Area" localSheetId="23">'COMP NOTURNO'!$A$1:$C$64</definedName>
    <definedName name="_xlnm.Print_Area" localSheetId="26">'comp transp 8'!$A$1:$C$62</definedName>
    <definedName name="_xlnm.Print_Area" localSheetId="20">'COMPACTADOR 15 m3'!$A$1:$C$62</definedName>
    <definedName name="_xlnm.Print_Area" localSheetId="2">DADOS!$A$1:$E$24</definedName>
    <definedName name="_xlnm.Print_Area" localSheetId="37">diversos!$A$1:$E$88</definedName>
    <definedName name="_xlnm.Print_Area" localSheetId="29">DOMICILIAR!$A$1:$G$104</definedName>
    <definedName name="_xlnm.Print_Area" localSheetId="8">'ENC I'!$A$1:$C$60</definedName>
    <definedName name="_xlnm.Print_Area" localSheetId="42">Encargos!$A$1:$B$56</definedName>
    <definedName name="_xlnm.Print_Area" localSheetId="33">ENSACADA!$A$1:$E$91</definedName>
    <definedName name="_xlnm.Print_Area" localSheetId="10">'GER I'!$A$1:$C$59</definedName>
    <definedName name="_xlnm.Print_Area" localSheetId="4">LUBRIF!$A$1:$J$36</definedName>
    <definedName name="_xlnm.Print_Area" localSheetId="7">MOTORISTA!$A$1:$C$59</definedName>
    <definedName name="_xlnm.Print_Area" localSheetId="36">pintura!$A$1:$E$69</definedName>
    <definedName name="_xlnm.Print_Area" localSheetId="41">Planilha2!$A$1:$U$54</definedName>
    <definedName name="_xlnm.Print_Area" localSheetId="3">Planilha3!$A$1:$I$36</definedName>
    <definedName name="_xlnm.Print_Area" localSheetId="32">Podação!$A$1:$F$92</definedName>
    <definedName name="_xlnm.Print_Area" localSheetId="14">REBOQUE!$A$1:$C$62</definedName>
    <definedName name="_xlnm.Print_Area" localSheetId="24">reserva15!$A$1:$C$62</definedName>
    <definedName name="_xlnm.Print_Area" localSheetId="19">RESERVA8!$A$1:$C$62</definedName>
    <definedName name="_xlnm.Print_Area" localSheetId="0">RESUMO!$A$1:$F$28</definedName>
    <definedName name="_xlnm.Print_Area" localSheetId="27">retro!$A$1:$S$34</definedName>
    <definedName name="_xlnm.Print_Area" localSheetId="34">SELETIVA!$A$1:$F$92</definedName>
    <definedName name="_xlnm.Print_Area" localSheetId="38">TRANSB!$A$1:$G$77</definedName>
    <definedName name="_xlnm.Print_Area" localSheetId="39">TRANSP!$A$2:$G$108</definedName>
    <definedName name="_xlnm.Print_Area" localSheetId="13">VAN!$A$1:$C$62</definedName>
    <definedName name="_xlnm.Print_Area" localSheetId="6">VARREDOR!$A$1:$C$65</definedName>
    <definedName name="_xlnm.Print_Area" localSheetId="28">VARRIÇÃO!$A$1:$G$89</definedName>
    <definedName name="_xlnm.Print_Area" localSheetId="11">VIGIA!$A$1:$C$58</definedName>
    <definedName name="_xlnm.Print_Area" localSheetId="31">'vol1'!$A$1:$E$97</definedName>
    <definedName name="_xlnm.Print_Area" localSheetId="30">volumosos!$A$1:$G$97</definedName>
    <definedName name="_xlnm.Print_Titles" localSheetId="40">'Adm1'!$7:$11</definedName>
    <definedName name="_xlnm.Print_Titles" localSheetId="16">'BASCULANTE 6'!$1:$8</definedName>
    <definedName name="_xlnm.Print_Titles" localSheetId="15">BAÚ!$6:$8</definedName>
    <definedName name="_xlnm.Print_Titles" localSheetId="35">CAPINAÇÃO!$7:$11</definedName>
    <definedName name="_xlnm.Print_Titles" localSheetId="18">'comp 8'!$6:$8</definedName>
    <definedName name="_xlnm.Print_Titles" localSheetId="20">'COMPACTADOR 15 m3'!$1:$8</definedName>
    <definedName name="_xlnm.Print_Titles" localSheetId="37">diversos!$6:$10</definedName>
    <definedName name="_xlnm.Print_Titles" localSheetId="29">DOMICILIAR!$6:$10</definedName>
    <definedName name="_xlnm.Print_Titles" localSheetId="33">ENSACADA!$6:$10</definedName>
    <definedName name="_xlnm.Print_Titles" localSheetId="4">LUBRIF!$2:$3</definedName>
    <definedName name="_xlnm.Print_Titles" localSheetId="7">MOTORISTA!$1:$7</definedName>
    <definedName name="_xlnm.Print_Titles" localSheetId="36">pintura!$7:$11</definedName>
    <definedName name="_xlnm.Print_Titles" localSheetId="41">Planilha2!$2:$2</definedName>
    <definedName name="_xlnm.Print_Titles" localSheetId="3">Planilha3!$2:$3</definedName>
    <definedName name="_xlnm.Print_Titles" localSheetId="32">Podação!$6:$10</definedName>
    <definedName name="_xlnm.Print_Titles" localSheetId="0">RESUMO!$1:$6</definedName>
    <definedName name="_xlnm.Print_Titles" localSheetId="34">SELETIVA!$7:$9</definedName>
    <definedName name="_xlnm.Print_Titles" localSheetId="39">TRANSP!$6:$10</definedName>
    <definedName name="_xlnm.Print_Titles" localSheetId="6">VARREDOR!$1:$6</definedName>
    <definedName name="_xlnm.Print_Titles" localSheetId="28">VARRIÇÃO!$6:$10</definedName>
    <definedName name="_xlnm.Print_Titles" localSheetId="31">'vol1'!$7:$11</definedName>
    <definedName name="_xlnm.Print_Titles" localSheetId="30">volumosos!$7:$11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23" l="1"/>
  <c r="B51" i="137"/>
  <c r="J3" i="166"/>
  <c r="L3" i="166"/>
  <c r="L4" i="166" s="1"/>
  <c r="J4" i="166"/>
  <c r="J5" i="166"/>
  <c r="J7" i="166"/>
  <c r="J8" i="166"/>
  <c r="E20" i="221"/>
  <c r="F20" i="221"/>
  <c r="F9" i="221"/>
  <c r="I95" i="84"/>
  <c r="D19" i="166"/>
  <c r="D10" i="166"/>
  <c r="D9" i="166"/>
  <c r="D8" i="166"/>
  <c r="D7" i="166"/>
  <c r="D6" i="166"/>
  <c r="G20" i="221" l="1"/>
  <c r="G13" i="217" l="1"/>
  <c r="G13" i="208"/>
  <c r="G13" i="205"/>
  <c r="G13" i="196"/>
  <c r="G13" i="36"/>
  <c r="G13" i="220"/>
  <c r="G13" i="209"/>
  <c r="E22" i="23"/>
  <c r="E23" i="23" l="1"/>
  <c r="F22" i="221" l="1"/>
  <c r="B85" i="51" l="1"/>
  <c r="C12" i="158"/>
  <c r="E22" i="221"/>
  <c r="D40" i="90"/>
  <c r="D38" i="90"/>
  <c r="D37" i="90"/>
  <c r="D36" i="90"/>
  <c r="D35" i="90"/>
  <c r="D34" i="90"/>
  <c r="D33" i="90"/>
  <c r="D32" i="90"/>
  <c r="D31" i="90"/>
  <c r="D30" i="90"/>
  <c r="D29" i="90"/>
  <c r="D28" i="90"/>
  <c r="D44" i="107"/>
  <c r="D43" i="107"/>
  <c r="D42" i="107"/>
  <c r="D41" i="107"/>
  <c r="D43" i="9"/>
  <c r="D42" i="9"/>
  <c r="D41" i="9"/>
  <c r="D40" i="9"/>
  <c r="D39" i="9"/>
  <c r="D38" i="9"/>
  <c r="D37" i="9"/>
  <c r="D36" i="9"/>
  <c r="D35" i="9"/>
  <c r="D34" i="9"/>
  <c r="D33" i="9"/>
  <c r="D32" i="9"/>
  <c r="D53" i="213"/>
  <c r="D52" i="213"/>
  <c r="D51" i="213"/>
  <c r="D50" i="213"/>
  <c r="D49" i="213"/>
  <c r="D48" i="213"/>
  <c r="D47" i="213"/>
  <c r="D46" i="213"/>
  <c r="D42" i="201"/>
  <c r="D33" i="201"/>
  <c r="D29" i="201"/>
  <c r="D28" i="201"/>
  <c r="D53" i="66"/>
  <c r="D52" i="66"/>
  <c r="D51" i="66"/>
  <c r="D50" i="66"/>
  <c r="D49" i="66"/>
  <c r="D48" i="66"/>
  <c r="D47" i="66"/>
  <c r="D46" i="66"/>
  <c r="D57" i="204"/>
  <c r="D55" i="204"/>
  <c r="D54" i="204"/>
  <c r="D53" i="204"/>
  <c r="D52" i="204"/>
  <c r="D51" i="204"/>
  <c r="D50" i="204"/>
  <c r="D57" i="84"/>
  <c r="D55" i="84"/>
  <c r="D54" i="84"/>
  <c r="D53" i="84"/>
  <c r="D52" i="84"/>
  <c r="D51" i="84"/>
  <c r="D50" i="84"/>
  <c r="D62" i="17"/>
  <c r="D59" i="17"/>
  <c r="D58" i="17"/>
  <c r="D57" i="17"/>
  <c r="D56" i="17"/>
  <c r="D55" i="17"/>
  <c r="D38" i="51"/>
  <c r="D37" i="51"/>
  <c r="D31" i="51"/>
  <c r="D30" i="51"/>
  <c r="D27" i="51"/>
  <c r="B27" i="131"/>
  <c r="B24" i="5"/>
  <c r="E21" i="221" l="1"/>
  <c r="B52" i="217"/>
  <c r="B51" i="217"/>
  <c r="B50" i="217"/>
  <c r="B49" i="217"/>
  <c r="B48" i="217"/>
  <c r="B47" i="217"/>
  <c r="B54" i="217" s="1"/>
  <c r="B49" i="208"/>
  <c r="B52" i="208"/>
  <c r="B51" i="208"/>
  <c r="B50" i="208"/>
  <c r="B48" i="208"/>
  <c r="B47" i="208"/>
  <c r="B49" i="205"/>
  <c r="B52" i="205"/>
  <c r="B51" i="205"/>
  <c r="B50" i="205"/>
  <c r="B48" i="205"/>
  <c r="B47" i="205"/>
  <c r="B52" i="196"/>
  <c r="B51" i="196"/>
  <c r="B50" i="196"/>
  <c r="B49" i="196"/>
  <c r="B48" i="196"/>
  <c r="B47" i="196"/>
  <c r="B52" i="36"/>
  <c r="B51" i="36"/>
  <c r="B50" i="36"/>
  <c r="B49" i="36"/>
  <c r="B49" i="220"/>
  <c r="B48" i="220"/>
  <c r="B50" i="220"/>
  <c r="B51" i="220"/>
  <c r="B52" i="220"/>
  <c r="B48" i="36"/>
  <c r="B47" i="36"/>
  <c r="B47" i="220"/>
  <c r="B52" i="209"/>
  <c r="B51" i="209"/>
  <c r="B50" i="209"/>
  <c r="B49" i="209"/>
  <c r="B48" i="209"/>
  <c r="B47" i="209"/>
  <c r="B52" i="203"/>
  <c r="B51" i="203"/>
  <c r="B50" i="203"/>
  <c r="B48" i="203"/>
  <c r="B47" i="203"/>
  <c r="B54" i="209" l="1"/>
  <c r="B52" i="6"/>
  <c r="B51" i="6"/>
  <c r="B50" i="6"/>
  <c r="B48" i="6"/>
  <c r="B47" i="6"/>
  <c r="B51" i="212"/>
  <c r="B48" i="212"/>
  <c r="B47" i="212"/>
  <c r="B52" i="212"/>
  <c r="B50" i="212"/>
  <c r="B54" i="219"/>
  <c r="B52" i="219"/>
  <c r="B54" i="210"/>
  <c r="B52" i="210"/>
  <c r="B53" i="210"/>
  <c r="B51" i="210"/>
  <c r="B28" i="224"/>
  <c r="B27" i="224"/>
  <c r="B17" i="224"/>
  <c r="B16" i="224"/>
  <c r="B15" i="224"/>
  <c r="B11" i="224"/>
  <c r="L10" i="224"/>
  <c r="L9" i="224"/>
  <c r="B9" i="224"/>
  <c r="J34" i="224"/>
  <c r="J36" i="224" s="1"/>
  <c r="I34" i="224"/>
  <c r="I36" i="224" s="1"/>
  <c r="F28" i="224"/>
  <c r="E28" i="224"/>
  <c r="H27" i="224"/>
  <c r="H28" i="224" s="1"/>
  <c r="G27" i="224"/>
  <c r="G28" i="224" s="1"/>
  <c r="F27" i="224"/>
  <c r="E27" i="224"/>
  <c r="D27" i="224"/>
  <c r="D28" i="224" s="1"/>
  <c r="C27" i="224"/>
  <c r="C28" i="224" s="1"/>
  <c r="H22" i="224"/>
  <c r="G22" i="224"/>
  <c r="F22" i="224"/>
  <c r="E22" i="224"/>
  <c r="D22" i="224"/>
  <c r="C22" i="224"/>
  <c r="H21" i="224"/>
  <c r="G21" i="224"/>
  <c r="F21" i="224"/>
  <c r="F23" i="224" s="1"/>
  <c r="E21" i="224"/>
  <c r="E23" i="224" s="1"/>
  <c r="D21" i="224"/>
  <c r="D23" i="224" s="1"/>
  <c r="C21" i="224"/>
  <c r="C23" i="224" s="1"/>
  <c r="H16" i="224"/>
  <c r="G16" i="224"/>
  <c r="F16" i="224"/>
  <c r="E16" i="224"/>
  <c r="D16" i="224"/>
  <c r="C16" i="224"/>
  <c r="H15" i="224"/>
  <c r="G15" i="224"/>
  <c r="F15" i="224"/>
  <c r="E15" i="224"/>
  <c r="D15" i="224"/>
  <c r="D17" i="224" s="1"/>
  <c r="C15" i="224"/>
  <c r="C17" i="224" s="1"/>
  <c r="H11" i="224"/>
  <c r="G11" i="224"/>
  <c r="F11" i="224"/>
  <c r="E11" i="224"/>
  <c r="D11" i="224"/>
  <c r="C11" i="224"/>
  <c r="D9" i="224"/>
  <c r="C9" i="224"/>
  <c r="H7" i="224"/>
  <c r="H9" i="224" s="1"/>
  <c r="G7" i="224"/>
  <c r="G9" i="224" s="1"/>
  <c r="F7" i="224"/>
  <c r="F9" i="224" s="1"/>
  <c r="E7" i="224"/>
  <c r="E9" i="224" s="1"/>
  <c r="D7" i="224"/>
  <c r="C7" i="224"/>
  <c r="I34" i="223"/>
  <c r="I36" i="223" s="1"/>
  <c r="H34" i="223"/>
  <c r="H36" i="223" s="1"/>
  <c r="E28" i="223"/>
  <c r="D28" i="223"/>
  <c r="G27" i="223"/>
  <c r="G28" i="223" s="1"/>
  <c r="F27" i="223"/>
  <c r="F28" i="223" s="1"/>
  <c r="E27" i="223"/>
  <c r="D27" i="223"/>
  <c r="C27" i="223"/>
  <c r="C28" i="223" s="1"/>
  <c r="B27" i="223"/>
  <c r="B28" i="223" s="1"/>
  <c r="C23" i="223"/>
  <c r="B23" i="223"/>
  <c r="G22" i="223"/>
  <c r="F22" i="223"/>
  <c r="E22" i="223"/>
  <c r="D22" i="223"/>
  <c r="C22" i="223"/>
  <c r="B22" i="223"/>
  <c r="G21" i="223"/>
  <c r="G23" i="223" s="1"/>
  <c r="F21" i="223"/>
  <c r="F23" i="223" s="1"/>
  <c r="E21" i="223"/>
  <c r="E23" i="223" s="1"/>
  <c r="D21" i="223"/>
  <c r="D23" i="223" s="1"/>
  <c r="C21" i="223"/>
  <c r="B21" i="223"/>
  <c r="E17" i="223"/>
  <c r="D17" i="223"/>
  <c r="C17" i="223"/>
  <c r="B17" i="223"/>
  <c r="G16" i="223"/>
  <c r="F16" i="223"/>
  <c r="E16" i="223"/>
  <c r="D16" i="223"/>
  <c r="C16" i="223"/>
  <c r="B16" i="223"/>
  <c r="G15" i="223"/>
  <c r="G17" i="223" s="1"/>
  <c r="F15" i="223"/>
  <c r="F17" i="223" s="1"/>
  <c r="E15" i="223"/>
  <c r="D15" i="223"/>
  <c r="C15" i="223"/>
  <c r="B15" i="223"/>
  <c r="G11" i="223"/>
  <c r="F11" i="223"/>
  <c r="E11" i="223"/>
  <c r="D11" i="223"/>
  <c r="C11" i="223"/>
  <c r="B11" i="223"/>
  <c r="E9" i="223"/>
  <c r="D9" i="223"/>
  <c r="C9" i="223"/>
  <c r="B9" i="223"/>
  <c r="G7" i="223"/>
  <c r="G9" i="223" s="1"/>
  <c r="F7" i="223"/>
  <c r="F9" i="223" s="1"/>
  <c r="E7" i="223"/>
  <c r="D7" i="223"/>
  <c r="C7" i="223"/>
  <c r="B7" i="223"/>
  <c r="B24" i="211"/>
  <c r="B25" i="211"/>
  <c r="B26" i="211"/>
  <c r="B23" i="211"/>
  <c r="B24" i="144"/>
  <c r="B25" i="144"/>
  <c r="B26" i="144"/>
  <c r="B23" i="144"/>
  <c r="B27" i="137"/>
  <c r="B50" i="136"/>
  <c r="B51" i="136"/>
  <c r="B52" i="136"/>
  <c r="B49" i="136"/>
  <c r="B22" i="136"/>
  <c r="B24" i="136"/>
  <c r="B23" i="136"/>
  <c r="B24" i="131"/>
  <c r="B23" i="131"/>
  <c r="B27" i="5"/>
  <c r="B23" i="5"/>
  <c r="B26" i="2"/>
  <c r="B25" i="2"/>
  <c r="B24" i="2"/>
  <c r="B23" i="2"/>
  <c r="B22" i="2"/>
  <c r="B26" i="1"/>
  <c r="B25" i="1"/>
  <c r="B24" i="1"/>
  <c r="B23" i="1"/>
  <c r="B22" i="1"/>
  <c r="U54" i="222"/>
  <c r="U53" i="222"/>
  <c r="R53" i="222"/>
  <c r="R52" i="222"/>
  <c r="U52" i="222" s="1"/>
  <c r="R51" i="222"/>
  <c r="U51" i="222" s="1"/>
  <c r="R50" i="222"/>
  <c r="U50" i="222" s="1"/>
  <c r="R49" i="222"/>
  <c r="U49" i="222" s="1"/>
  <c r="R48" i="222"/>
  <c r="U48" i="222" s="1"/>
  <c r="R47" i="222"/>
  <c r="U47" i="222" s="1"/>
  <c r="U46" i="222"/>
  <c r="R46" i="222"/>
  <c r="R45" i="222"/>
  <c r="U45" i="222" s="1"/>
  <c r="R44" i="222"/>
  <c r="U44" i="222" s="1"/>
  <c r="R43" i="222"/>
  <c r="U43" i="222" s="1"/>
  <c r="U42" i="222"/>
  <c r="R42" i="222"/>
  <c r="R41" i="222"/>
  <c r="U41" i="222" s="1"/>
  <c r="R40" i="222"/>
  <c r="U40" i="222" s="1"/>
  <c r="R39" i="222"/>
  <c r="U39" i="222" s="1"/>
  <c r="U38" i="222"/>
  <c r="R38" i="222"/>
  <c r="R37" i="222"/>
  <c r="U37" i="222" s="1"/>
  <c r="R36" i="222"/>
  <c r="U36" i="222" s="1"/>
  <c r="R35" i="222"/>
  <c r="U35" i="222" s="1"/>
  <c r="U34" i="222"/>
  <c r="R34" i="222"/>
  <c r="R33" i="222"/>
  <c r="U33" i="222" s="1"/>
  <c r="R32" i="222"/>
  <c r="U32" i="222" s="1"/>
  <c r="R31" i="222"/>
  <c r="U31" i="222" s="1"/>
  <c r="U30" i="222"/>
  <c r="R30" i="222"/>
  <c r="R29" i="222"/>
  <c r="U29" i="222" s="1"/>
  <c r="R28" i="222"/>
  <c r="U28" i="222" s="1"/>
  <c r="R26" i="222"/>
  <c r="U25" i="222"/>
  <c r="R25" i="222"/>
  <c r="U24" i="222"/>
  <c r="R24" i="222"/>
  <c r="R23" i="222"/>
  <c r="U23" i="222" s="1"/>
  <c r="R22" i="222"/>
  <c r="U22" i="222" s="1"/>
  <c r="R21" i="222"/>
  <c r="U21" i="222" s="1"/>
  <c r="R20" i="222"/>
  <c r="U20" i="222" s="1"/>
  <c r="R19" i="222"/>
  <c r="U19" i="222" s="1"/>
  <c r="M18" i="222"/>
  <c r="J18" i="222"/>
  <c r="R18" i="222" s="1"/>
  <c r="U18" i="222" s="1"/>
  <c r="E18" i="222"/>
  <c r="D18" i="222"/>
  <c r="V17" i="222"/>
  <c r="M17" i="222"/>
  <c r="K17" i="222"/>
  <c r="R17" i="222" s="1"/>
  <c r="U17" i="222" s="1"/>
  <c r="U16" i="222"/>
  <c r="R16" i="222"/>
  <c r="R15" i="222"/>
  <c r="U15" i="222" s="1"/>
  <c r="R14" i="222"/>
  <c r="U14" i="222" s="1"/>
  <c r="R13" i="222"/>
  <c r="U13" i="222" s="1"/>
  <c r="U12" i="222"/>
  <c r="R12" i="222"/>
  <c r="R11" i="222"/>
  <c r="U11" i="222" s="1"/>
  <c r="R10" i="222"/>
  <c r="U10" i="222" s="1"/>
  <c r="R9" i="222"/>
  <c r="U9" i="222" s="1"/>
  <c r="U8" i="222"/>
  <c r="R8" i="222"/>
  <c r="R7" i="222"/>
  <c r="U7" i="222" s="1"/>
  <c r="R6" i="222"/>
  <c r="U6" i="222" s="1"/>
  <c r="R5" i="222"/>
  <c r="U5" i="222" s="1"/>
  <c r="U4" i="222"/>
  <c r="R4" i="222"/>
  <c r="R3" i="222"/>
  <c r="U3" i="222" s="1"/>
  <c r="H23" i="224" l="1"/>
  <c r="G17" i="224"/>
  <c r="H17" i="224"/>
  <c r="E17" i="224"/>
  <c r="G23" i="224"/>
  <c r="F17" i="224"/>
  <c r="B48" i="136"/>
  <c r="B33" i="219" l="1"/>
  <c r="B33" i="210"/>
  <c r="B59" i="217" l="1"/>
  <c r="G14" i="217"/>
  <c r="B59" i="208"/>
  <c r="G14" i="208"/>
  <c r="B59" i="220"/>
  <c r="G14" i="220"/>
  <c r="B59" i="205"/>
  <c r="G14" i="205"/>
  <c r="B59" i="196"/>
  <c r="G14" i="196"/>
  <c r="B59" i="36"/>
  <c r="G14" i="36"/>
  <c r="B59" i="209"/>
  <c r="G14" i="209"/>
  <c r="B33" i="203"/>
  <c r="B33" i="6"/>
  <c r="G14" i="203"/>
  <c r="G13" i="203"/>
  <c r="G14" i="6"/>
  <c r="G13" i="6"/>
  <c r="B33" i="212"/>
  <c r="B59" i="212"/>
  <c r="G13" i="219"/>
  <c r="B59" i="219" s="1"/>
  <c r="B59" i="210"/>
  <c r="B58" i="210"/>
  <c r="G14" i="212"/>
  <c r="B14" i="211"/>
  <c r="S13" i="166"/>
  <c r="S12" i="166"/>
  <c r="S8" i="166"/>
  <c r="R7" i="166"/>
  <c r="S6" i="166"/>
  <c r="B60" i="210" l="1"/>
  <c r="F23" i="221" l="1"/>
  <c r="B179" i="106"/>
  <c r="F21" i="221"/>
  <c r="F19" i="221" l="1"/>
  <c r="F17" i="221"/>
  <c r="B104" i="207"/>
  <c r="F16" i="221"/>
  <c r="B84" i="90"/>
  <c r="F15" i="221"/>
  <c r="B65" i="107"/>
  <c r="F14" i="221"/>
  <c r="B86" i="9"/>
  <c r="F13" i="221"/>
  <c r="B88" i="213"/>
  <c r="F12" i="221"/>
  <c r="B87" i="201"/>
  <c r="F11" i="221"/>
  <c r="B88" i="66"/>
  <c r="B93" i="204"/>
  <c r="B93" i="84"/>
  <c r="F8" i="221"/>
  <c r="B100" i="17"/>
  <c r="D88" i="51"/>
  <c r="C7" i="221" s="1"/>
  <c r="F7" i="221"/>
  <c r="C7" i="23" l="1"/>
  <c r="F10" i="221"/>
  <c r="C16" i="221" l="1"/>
  <c r="C15" i="221"/>
  <c r="C14" i="221"/>
  <c r="C12" i="221"/>
  <c r="C11" i="221"/>
  <c r="C10" i="221"/>
  <c r="C9" i="221"/>
  <c r="C8" i="221"/>
  <c r="B14" i="72" l="1"/>
  <c r="B13" i="72"/>
  <c r="B30" i="72"/>
  <c r="E27" i="220"/>
  <c r="B27" i="220" s="1"/>
  <c r="B35" i="220" s="1"/>
  <c r="B33" i="220"/>
  <c r="B26" i="220"/>
  <c r="B21" i="220"/>
  <c r="J16" i="220"/>
  <c r="D25" i="17"/>
  <c r="D13" i="17"/>
  <c r="B54" i="220" l="1"/>
  <c r="O13" i="220"/>
  <c r="J15" i="220"/>
  <c r="B29" i="220"/>
  <c r="B36" i="220"/>
  <c r="B12" i="220"/>
  <c r="B58" i="220" s="1"/>
  <c r="B60" i="220" s="1"/>
  <c r="J14" i="220"/>
  <c r="J13" i="220"/>
  <c r="B41" i="220"/>
  <c r="B43" i="220" s="1"/>
  <c r="J17" i="220"/>
  <c r="B15" i="220"/>
  <c r="K16" i="220" s="1"/>
  <c r="B64" i="220" l="1"/>
  <c r="K14" i="220"/>
  <c r="K15" i="220"/>
  <c r="K17" i="220"/>
  <c r="K13" i="220"/>
  <c r="L13" i="220" s="1"/>
  <c r="M13" i="220" s="1"/>
  <c r="O14" i="220" s="1"/>
  <c r="B22" i="220"/>
  <c r="B16" i="220"/>
  <c r="B20" i="220"/>
  <c r="B62" i="220" l="1"/>
  <c r="D40" i="17" s="1"/>
  <c r="L14" i="220"/>
  <c r="M14" i="220" s="1"/>
  <c r="O15" i="220" s="1"/>
  <c r="L15" i="220" l="1"/>
  <c r="M15" i="220" l="1"/>
  <c r="O16" i="220" s="1"/>
  <c r="L16" i="220"/>
  <c r="M16" i="220" l="1"/>
  <c r="O17" i="220" s="1"/>
  <c r="L17" i="220"/>
  <c r="M17" i="220" s="1"/>
  <c r="O18" i="220" s="1"/>
  <c r="B60" i="219" l="1"/>
  <c r="B27" i="219"/>
  <c r="B27" i="210"/>
  <c r="G14" i="219"/>
  <c r="B12" i="219" s="1"/>
  <c r="C84" i="106"/>
  <c r="C38" i="106"/>
  <c r="B35" i="219" l="1"/>
  <c r="B50" i="219"/>
  <c r="B50" i="210"/>
  <c r="B48" i="210"/>
  <c r="B47" i="210"/>
  <c r="B36" i="219"/>
  <c r="J14" i="219"/>
  <c r="J17" i="219"/>
  <c r="J15" i="219"/>
  <c r="J16" i="219"/>
  <c r="B41" i="219"/>
  <c r="B43" i="219" s="1"/>
  <c r="J13" i="219"/>
  <c r="B15" i="219"/>
  <c r="K16" i="219" s="1"/>
  <c r="B29" i="219"/>
  <c r="K13" i="219" l="1"/>
  <c r="L13" i="219" s="1"/>
  <c r="K14" i="219"/>
  <c r="L14" i="219" s="1"/>
  <c r="K15" i="219"/>
  <c r="M13" i="219"/>
  <c r="K17" i="219"/>
  <c r="M14" i="219"/>
  <c r="L15" i="219" l="1"/>
  <c r="M15" i="219" s="1"/>
  <c r="B16" i="219"/>
  <c r="B22" i="219"/>
  <c r="B20" i="219"/>
  <c r="E27" i="205"/>
  <c r="B27" i="205" s="1"/>
  <c r="B27" i="196"/>
  <c r="B27" i="212"/>
  <c r="B27" i="203"/>
  <c r="B27" i="6"/>
  <c r="B27" i="209"/>
  <c r="B27" i="36"/>
  <c r="D13" i="51"/>
  <c r="E29" i="217"/>
  <c r="B27" i="217" s="1"/>
  <c r="B35" i="217" s="1"/>
  <c r="B33" i="217"/>
  <c r="B26" i="217"/>
  <c r="B21" i="217"/>
  <c r="L15" i="17"/>
  <c r="L14" i="17"/>
  <c r="L13" i="17"/>
  <c r="F13" i="51"/>
  <c r="L16" i="219" l="1"/>
  <c r="B62" i="219"/>
  <c r="C161" i="106" s="1"/>
  <c r="B29" i="217"/>
  <c r="B53" i="217" s="1"/>
  <c r="O13" i="217"/>
  <c r="B36" i="217"/>
  <c r="B64" i="217" l="1"/>
  <c r="M16" i="219"/>
  <c r="L17" i="219"/>
  <c r="M17" i="219" s="1"/>
  <c r="B15" i="217"/>
  <c r="K17" i="217" s="1"/>
  <c r="B41" i="217"/>
  <c r="B43" i="217" s="1"/>
  <c r="J16" i="217"/>
  <c r="J15" i="217"/>
  <c r="J13" i="217"/>
  <c r="B12" i="217"/>
  <c r="J17" i="217"/>
  <c r="J14" i="217"/>
  <c r="K14" i="217"/>
  <c r="K16" i="217"/>
  <c r="K13" i="217" l="1"/>
  <c r="L13" i="217" s="1"/>
  <c r="M13" i="217" s="1"/>
  <c r="O14" i="217" s="1"/>
  <c r="B20" i="217"/>
  <c r="B58" i="217"/>
  <c r="B60" i="217" s="1"/>
  <c r="K15" i="217"/>
  <c r="B16" i="217"/>
  <c r="B22" i="217"/>
  <c r="L14" i="217"/>
  <c r="B62" i="217" l="1"/>
  <c r="D52" i="207" s="1"/>
  <c r="L15" i="217"/>
  <c r="M14" i="217"/>
  <c r="O15" i="217" s="1"/>
  <c r="M15" i="217" l="1"/>
  <c r="O16" i="217" s="1"/>
  <c r="L16" i="217"/>
  <c r="L17" i="217" l="1"/>
  <c r="M17" i="217" s="1"/>
  <c r="O18" i="217" s="1"/>
  <c r="M16" i="217"/>
  <c r="O17" i="217" s="1"/>
  <c r="D70" i="213" l="1"/>
  <c r="D64" i="213"/>
  <c r="D67" i="213" s="1"/>
  <c r="D75" i="213" s="1"/>
  <c r="D61" i="213"/>
  <c r="D73" i="213" s="1"/>
  <c r="D60" i="213"/>
  <c r="D72" i="213" s="1"/>
  <c r="B53" i="213"/>
  <c r="B52" i="213"/>
  <c r="B51" i="213"/>
  <c r="B48" i="213"/>
  <c r="D39" i="213"/>
  <c r="B35" i="212"/>
  <c r="B26" i="212"/>
  <c r="B12" i="212"/>
  <c r="B58" i="212" s="1"/>
  <c r="B51" i="211"/>
  <c r="B50" i="211"/>
  <c r="B49" i="211"/>
  <c r="B48" i="211"/>
  <c r="B39" i="211"/>
  <c r="B41" i="211" s="1"/>
  <c r="B42" i="211" s="1"/>
  <c r="A35" i="211"/>
  <c r="B29" i="211"/>
  <c r="B27" i="211"/>
  <c r="B53" i="211" s="1"/>
  <c r="B22" i="211"/>
  <c r="B16" i="211"/>
  <c r="C70" i="106"/>
  <c r="C24" i="106"/>
  <c r="B30" i="211" l="1"/>
  <c r="D77" i="213"/>
  <c r="D84" i="213" s="1"/>
  <c r="D55" i="213"/>
  <c r="D83" i="213" s="1"/>
  <c r="J17" i="212"/>
  <c r="B41" i="212"/>
  <c r="B43" i="212" s="1"/>
  <c r="J13" i="212"/>
  <c r="B60" i="212"/>
  <c r="J14" i="212"/>
  <c r="J16" i="212"/>
  <c r="B15" i="212"/>
  <c r="K17" i="212" s="1"/>
  <c r="J15" i="212"/>
  <c r="O13" i="212"/>
  <c r="B36" i="212"/>
  <c r="B29" i="212"/>
  <c r="B53" i="212" s="1"/>
  <c r="B54" i="212" s="1"/>
  <c r="B18" i="211"/>
  <c r="B32" i="211" s="1"/>
  <c r="B43" i="211"/>
  <c r="B44" i="211" s="1"/>
  <c r="F13" i="17"/>
  <c r="B64" i="212" l="1"/>
  <c r="B33" i="211"/>
  <c r="C16" i="106"/>
  <c r="D16" i="106" s="1"/>
  <c r="K14" i="212"/>
  <c r="K16" i="212"/>
  <c r="K13" i="212"/>
  <c r="L13" i="212" s="1"/>
  <c r="M13" i="212" s="1"/>
  <c r="O14" i="212" s="1"/>
  <c r="K15" i="212"/>
  <c r="B35" i="210"/>
  <c r="B26" i="210"/>
  <c r="G14" i="210"/>
  <c r="B12" i="210" s="1"/>
  <c r="C143" i="106"/>
  <c r="C136" i="106"/>
  <c r="C90" i="106"/>
  <c r="C44" i="106"/>
  <c r="C32" i="106"/>
  <c r="C78" i="106" s="1"/>
  <c r="C124" i="106" s="1"/>
  <c r="D80" i="207"/>
  <c r="D77" i="207"/>
  <c r="D76" i="207"/>
  <c r="D64" i="66"/>
  <c r="D61" i="66"/>
  <c r="D60" i="66"/>
  <c r="D68" i="204"/>
  <c r="D65" i="204"/>
  <c r="D64" i="204"/>
  <c r="D68" i="84"/>
  <c r="D65" i="84"/>
  <c r="D64" i="84"/>
  <c r="B35" i="209"/>
  <c r="B33" i="209"/>
  <c r="B26" i="209"/>
  <c r="B29" i="209" s="1"/>
  <c r="B53" i="209" s="1"/>
  <c r="B53" i="220" s="1"/>
  <c r="B21" i="209"/>
  <c r="B30" i="51"/>
  <c r="B21" i="208"/>
  <c r="B21" i="205"/>
  <c r="B21" i="196"/>
  <c r="B21" i="36"/>
  <c r="B21" i="203"/>
  <c r="G17" i="1"/>
  <c r="B56" i="2"/>
  <c r="C41" i="201"/>
  <c r="J16" i="210" l="1"/>
  <c r="J16" i="209"/>
  <c r="B12" i="209"/>
  <c r="B58" i="209" s="1"/>
  <c r="O13" i="210"/>
  <c r="L14" i="212"/>
  <c r="M14" i="212" s="1"/>
  <c r="O15" i="212" s="1"/>
  <c r="B36" i="209"/>
  <c r="B64" i="209" s="1"/>
  <c r="B53" i="1"/>
  <c r="B29" i="210"/>
  <c r="B62" i="210" s="1"/>
  <c r="B36" i="210"/>
  <c r="J15" i="210"/>
  <c r="J13" i="210"/>
  <c r="B41" i="210"/>
  <c r="B43" i="210" s="1"/>
  <c r="J14" i="210"/>
  <c r="J17" i="210"/>
  <c r="G16" i="210"/>
  <c r="B15" i="210"/>
  <c r="K16" i="210" s="1"/>
  <c r="J15" i="209"/>
  <c r="O13" i="209"/>
  <c r="J13" i="209"/>
  <c r="B41" i="209"/>
  <c r="B43" i="209" s="1"/>
  <c r="J14" i="209"/>
  <c r="J17" i="209"/>
  <c r="B60" i="209"/>
  <c r="B15" i="209"/>
  <c r="K16" i="209" s="1"/>
  <c r="B64" i="210" l="1"/>
  <c r="L15" i="212"/>
  <c r="K15" i="210"/>
  <c r="K17" i="210"/>
  <c r="K14" i="210"/>
  <c r="K13" i="210"/>
  <c r="L13" i="210" s="1"/>
  <c r="M13" i="210" s="1"/>
  <c r="O14" i="210" s="1"/>
  <c r="K14" i="209"/>
  <c r="B22" i="209"/>
  <c r="B16" i="209"/>
  <c r="B20" i="209"/>
  <c r="K17" i="209"/>
  <c r="K15" i="209"/>
  <c r="K13" i="209"/>
  <c r="L13" i="209" s="1"/>
  <c r="M13" i="209" s="1"/>
  <c r="O14" i="209" s="1"/>
  <c r="C15" i="23"/>
  <c r="B27" i="144"/>
  <c r="B27" i="1"/>
  <c r="M15" i="212" l="1"/>
  <c r="O16" i="212" s="1"/>
  <c r="L16" i="212"/>
  <c r="L14" i="210"/>
  <c r="M14" i="210" s="1"/>
  <c r="O15" i="210" s="1"/>
  <c r="L15" i="210"/>
  <c r="B62" i="209"/>
  <c r="D36" i="17" s="1"/>
  <c r="D37" i="17" s="1"/>
  <c r="L14" i="209"/>
  <c r="M14" i="209" s="1"/>
  <c r="O15" i="209" s="1"/>
  <c r="G29" i="208"/>
  <c r="B27" i="208" s="1"/>
  <c r="L17" i="212" l="1"/>
  <c r="M17" i="212" s="1"/>
  <c r="M16" i="212"/>
  <c r="O17" i="212" s="1"/>
  <c r="M15" i="210"/>
  <c r="O16" i="210" s="1"/>
  <c r="L16" i="210"/>
  <c r="L15" i="209"/>
  <c r="L16" i="209" s="1"/>
  <c r="B12" i="208" l="1"/>
  <c r="B58" i="208" s="1"/>
  <c r="B60" i="208" s="1"/>
  <c r="B12" i="205"/>
  <c r="B58" i="205" s="1"/>
  <c r="B12" i="196"/>
  <c r="O18" i="212"/>
  <c r="M16" i="210"/>
  <c r="O17" i="210" s="1"/>
  <c r="L17" i="210"/>
  <c r="M17" i="210" s="1"/>
  <c r="M15" i="209"/>
  <c r="O16" i="209" s="1"/>
  <c r="M16" i="209"/>
  <c r="O17" i="209" s="1"/>
  <c r="L17" i="209"/>
  <c r="M17" i="209" s="1"/>
  <c r="O18" i="209" s="1"/>
  <c r="O18" i="210" l="1"/>
  <c r="B16" i="212"/>
  <c r="B22" i="212"/>
  <c r="B20" i="212"/>
  <c r="G72" i="106"/>
  <c r="G25" i="106"/>
  <c r="B16" i="210" l="1"/>
  <c r="B20" i="210"/>
  <c r="B22" i="210"/>
  <c r="C160" i="106" s="1"/>
  <c r="B62" i="212"/>
  <c r="D34" i="213" s="1"/>
  <c r="D35" i="213" s="1"/>
  <c r="D42" i="213" s="1"/>
  <c r="D82" i="213" s="1"/>
  <c r="C8" i="23"/>
  <c r="D107" i="207"/>
  <c r="C17" i="221" s="1"/>
  <c r="E21" i="166"/>
  <c r="E20" i="166"/>
  <c r="E19" i="166"/>
  <c r="E18" i="166"/>
  <c r="E10" i="166"/>
  <c r="C6" i="166"/>
  <c r="E4" i="166"/>
  <c r="E9" i="166"/>
  <c r="B12" i="36" l="1"/>
  <c r="B58" i="36" s="1"/>
  <c r="E5" i="166"/>
  <c r="E6" i="166" l="1"/>
  <c r="E8" i="166"/>
  <c r="E7" i="166"/>
  <c r="C18" i="23" l="1"/>
  <c r="B33" i="208"/>
  <c r="B26" i="208"/>
  <c r="J14" i="208"/>
  <c r="D89" i="207"/>
  <c r="D88" i="207"/>
  <c r="D87" i="207"/>
  <c r="D83" i="207"/>
  <c r="D91" i="207" s="1"/>
  <c r="D70" i="207"/>
  <c r="D41" i="207"/>
  <c r="D37" i="207"/>
  <c r="C52" i="106"/>
  <c r="C17" i="23"/>
  <c r="C11" i="23"/>
  <c r="C12" i="23"/>
  <c r="C13" i="23"/>
  <c r="B15" i="208" l="1"/>
  <c r="K13" i="208" s="1"/>
  <c r="L13" i="208" s="1"/>
  <c r="O13" i="208"/>
  <c r="J16" i="208"/>
  <c r="J17" i="208"/>
  <c r="J15" i="208"/>
  <c r="J13" i="208"/>
  <c r="D93" i="207"/>
  <c r="D100" i="207" s="1"/>
  <c r="B35" i="208"/>
  <c r="B36" i="208" s="1"/>
  <c r="B29" i="208"/>
  <c r="B53" i="208" s="1"/>
  <c r="B54" i="208" s="1"/>
  <c r="B41" i="208"/>
  <c r="B43" i="208" s="1"/>
  <c r="D24" i="206"/>
  <c r="D25" i="206" s="1"/>
  <c r="E25" i="206" s="1"/>
  <c r="E29" i="206"/>
  <c r="D27" i="206"/>
  <c r="E26" i="206"/>
  <c r="H23" i="206"/>
  <c r="E23" i="206"/>
  <c r="V18" i="206"/>
  <c r="E18" i="206"/>
  <c r="V17" i="206"/>
  <c r="E17" i="206"/>
  <c r="P16" i="206"/>
  <c r="P15" i="206"/>
  <c r="E15" i="206"/>
  <c r="D15" i="206"/>
  <c r="P14" i="206"/>
  <c r="P13" i="206"/>
  <c r="D13" i="206"/>
  <c r="Q14" i="206" s="1"/>
  <c r="P12" i="206"/>
  <c r="E12" i="206"/>
  <c r="P11" i="206"/>
  <c r="P10" i="206"/>
  <c r="M11" i="206"/>
  <c r="D16" i="206" s="1"/>
  <c r="P9" i="206"/>
  <c r="E9" i="206"/>
  <c r="E8" i="206"/>
  <c r="M13" i="208" l="1"/>
  <c r="O14" i="208" s="1"/>
  <c r="K16" i="208"/>
  <c r="K15" i="208"/>
  <c r="K17" i="208"/>
  <c r="K14" i="208"/>
  <c r="L14" i="208" s="1"/>
  <c r="M14" i="208" s="1"/>
  <c r="O15" i="208" s="1"/>
  <c r="D28" i="206"/>
  <c r="E28" i="206" s="1"/>
  <c r="Q11" i="206"/>
  <c r="Q12" i="206"/>
  <c r="Q15" i="206"/>
  <c r="Q16" i="206"/>
  <c r="Q13" i="206"/>
  <c r="D14" i="206"/>
  <c r="I23" i="206" s="1"/>
  <c r="E16" i="206"/>
  <c r="E27" i="206"/>
  <c r="E24" i="206"/>
  <c r="Q9" i="206"/>
  <c r="R9" i="206" s="1"/>
  <c r="S9" i="206" s="1"/>
  <c r="Q10" i="206"/>
  <c r="E13" i="206"/>
  <c r="L15" i="208" l="1"/>
  <c r="M15" i="208" s="1"/>
  <c r="R10" i="206"/>
  <c r="S10" i="206" s="1"/>
  <c r="B64" i="208"/>
  <c r="E14" i="206"/>
  <c r="H26" i="206"/>
  <c r="H27" i="206" s="1"/>
  <c r="O16" i="208" l="1"/>
  <c r="L16" i="208"/>
  <c r="R11" i="206"/>
  <c r="S11" i="206" s="1"/>
  <c r="I27" i="206"/>
  <c r="E22" i="206" s="1"/>
  <c r="H28" i="206"/>
  <c r="M16" i="208" l="1"/>
  <c r="O17" i="208" s="1"/>
  <c r="L17" i="208"/>
  <c r="M17" i="208" s="1"/>
  <c r="R12" i="206"/>
  <c r="S12" i="206" s="1"/>
  <c r="O18" i="208" l="1"/>
  <c r="R13" i="206"/>
  <c r="R14" i="206" s="1"/>
  <c r="B16" i="208" l="1"/>
  <c r="B22" i="208"/>
  <c r="B20" i="208"/>
  <c r="S13" i="206"/>
  <c r="D11" i="206" s="1"/>
  <c r="E11" i="206" s="1"/>
  <c r="H10" i="206" s="1"/>
  <c r="S14" i="206"/>
  <c r="R15" i="206"/>
  <c r="B62" i="208" l="1"/>
  <c r="D53" i="207" s="1"/>
  <c r="D20" i="206"/>
  <c r="D21" i="206" s="1"/>
  <c r="D10" i="206"/>
  <c r="E10" i="206" s="1"/>
  <c r="H29" i="206"/>
  <c r="D22" i="206"/>
  <c r="D19" i="206"/>
  <c r="S15" i="206"/>
  <c r="R16" i="206"/>
  <c r="S16" i="206" s="1"/>
  <c r="F48" i="207" l="1"/>
  <c r="F49" i="207" s="1"/>
  <c r="D48" i="207"/>
  <c r="D49" i="207" s="1"/>
  <c r="E20" i="206"/>
  <c r="E21" i="206" s="1"/>
  <c r="I31" i="206"/>
  <c r="I30" i="206"/>
  <c r="E19" i="206"/>
  <c r="D30" i="206"/>
  <c r="D31" i="206"/>
  <c r="D55" i="207" l="1"/>
  <c r="D98" i="207" s="1"/>
  <c r="E31" i="206"/>
  <c r="I32" i="206"/>
  <c r="I34" i="206" s="1"/>
  <c r="E30" i="206"/>
  <c r="D32" i="206"/>
  <c r="D34" i="206" s="1"/>
  <c r="B35" i="205"/>
  <c r="B33" i="205"/>
  <c r="K32" i="205"/>
  <c r="L28" i="205"/>
  <c r="M28" i="205" s="1"/>
  <c r="B26" i="205"/>
  <c r="B29" i="205" s="1"/>
  <c r="B53" i="205" s="1"/>
  <c r="B54" i="205" s="1"/>
  <c r="B60" i="205"/>
  <c r="B41" i="205"/>
  <c r="B43" i="205" s="1"/>
  <c r="D77" i="204"/>
  <c r="D76" i="204"/>
  <c r="D71" i="204"/>
  <c r="D79" i="204" s="1"/>
  <c r="B57" i="204"/>
  <c r="D44" i="204"/>
  <c r="D39" i="204" l="1"/>
  <c r="D40" i="204" s="1"/>
  <c r="E32" i="206"/>
  <c r="E34" i="206" s="1"/>
  <c r="B36" i="205"/>
  <c r="J17" i="205"/>
  <c r="J13" i="205"/>
  <c r="J14" i="205"/>
  <c r="O13" i="205"/>
  <c r="B15" i="205"/>
  <c r="K13" i="205" s="1"/>
  <c r="L13" i="205" s="1"/>
  <c r="J15" i="205"/>
  <c r="J16" i="205"/>
  <c r="D81" i="204"/>
  <c r="D89" i="204" s="1"/>
  <c r="M13" i="205" l="1"/>
  <c r="O14" i="205" s="1"/>
  <c r="K17" i="205"/>
  <c r="K14" i="205"/>
  <c r="L14" i="205" s="1"/>
  <c r="M14" i="205" s="1"/>
  <c r="O15" i="205" s="1"/>
  <c r="K16" i="205"/>
  <c r="K15" i="205"/>
  <c r="B64" i="205"/>
  <c r="L15" i="205" l="1"/>
  <c r="B35" i="203"/>
  <c r="B36" i="203" s="1"/>
  <c r="B26" i="203"/>
  <c r="J17" i="203"/>
  <c r="J16" i="203"/>
  <c r="B15" i="203"/>
  <c r="K16" i="203" s="1"/>
  <c r="J14" i="203"/>
  <c r="J13" i="203"/>
  <c r="K14" i="203" l="1"/>
  <c r="M15" i="205"/>
  <c r="O16" i="205" s="1"/>
  <c r="L16" i="205"/>
  <c r="B29" i="203"/>
  <c r="B53" i="203" s="1"/>
  <c r="B54" i="203" s="1"/>
  <c r="K15" i="203"/>
  <c r="K17" i="203"/>
  <c r="K13" i="203"/>
  <c r="L13" i="203" s="1"/>
  <c r="O13" i="203"/>
  <c r="J15" i="203"/>
  <c r="B41" i="203"/>
  <c r="B43" i="203" s="1"/>
  <c r="B64" i="203" l="1"/>
  <c r="L14" i="203"/>
  <c r="L15" i="203" s="1"/>
  <c r="L16" i="203" s="1"/>
  <c r="M16" i="203" s="1"/>
  <c r="O17" i="203" s="1"/>
  <c r="M16" i="205"/>
  <c r="O17" i="205" s="1"/>
  <c r="L17" i="205"/>
  <c r="M17" i="205" s="1"/>
  <c r="M13" i="203"/>
  <c r="O14" i="203" s="1"/>
  <c r="M14" i="203" l="1"/>
  <c r="O15" i="203" s="1"/>
  <c r="O18" i="205"/>
  <c r="M15" i="203"/>
  <c r="O16" i="203" s="1"/>
  <c r="L17" i="203"/>
  <c r="M17" i="203" s="1"/>
  <c r="B16" i="205" l="1"/>
  <c r="B20" i="205"/>
  <c r="B22" i="205"/>
  <c r="B12" i="203"/>
  <c r="O18" i="203"/>
  <c r="B58" i="203" l="1"/>
  <c r="B59" i="203"/>
  <c r="B62" i="205"/>
  <c r="D48" i="17" s="1"/>
  <c r="D49" i="17" s="1"/>
  <c r="B20" i="203"/>
  <c r="B16" i="203"/>
  <c r="B22" i="203"/>
  <c r="B60" i="203" l="1"/>
  <c r="B62" i="203" s="1"/>
  <c r="D35" i="204" l="1"/>
  <c r="D36" i="204" s="1"/>
  <c r="B13" i="1" l="1"/>
  <c r="B14" i="1"/>
  <c r="C83" i="106" l="1"/>
  <c r="M89" i="201"/>
  <c r="D66" i="201"/>
  <c r="D74" i="201" s="1"/>
  <c r="D60" i="201"/>
  <c r="D72" i="201" s="1"/>
  <c r="D59" i="201"/>
  <c r="D71" i="201" s="1"/>
  <c r="D51" i="201"/>
  <c r="D52" i="201" s="1"/>
  <c r="D54" i="201" s="1"/>
  <c r="D44" i="201"/>
  <c r="B42" i="201"/>
  <c r="D76" i="201" l="1"/>
  <c r="D83" i="201" s="1"/>
  <c r="C10" i="23" l="1"/>
  <c r="B33" i="196" l="1"/>
  <c r="B33" i="36"/>
  <c r="D46" i="201" l="1"/>
  <c r="D82" i="201" s="1"/>
  <c r="D68" i="207"/>
  <c r="D99" i="207" s="1"/>
  <c r="D59" i="204"/>
  <c r="D88" i="204" s="1"/>
  <c r="B35" i="196"/>
  <c r="B36" i="196" s="1"/>
  <c r="B26" i="196"/>
  <c r="B29" i="196" s="1"/>
  <c r="H144" i="106"/>
  <c r="J144" i="106" s="1"/>
  <c r="B53" i="196" l="1"/>
  <c r="B54" i="196" s="1"/>
  <c r="B64" i="196" s="1"/>
  <c r="J15" i="196"/>
  <c r="O13" i="196"/>
  <c r="J13" i="196"/>
  <c r="B41" i="196"/>
  <c r="B43" i="196" s="1"/>
  <c r="J17" i="196"/>
  <c r="B15" i="196"/>
  <c r="K15" i="196" s="1"/>
  <c r="J16" i="196"/>
  <c r="J14" i="196"/>
  <c r="F44" i="17" l="1"/>
  <c r="K17" i="196"/>
  <c r="K14" i="196"/>
  <c r="K13" i="196"/>
  <c r="L13" i="196" s="1"/>
  <c r="M13" i="196" s="1"/>
  <c r="O14" i="196" s="1"/>
  <c r="K16" i="196"/>
  <c r="L14" i="196" l="1"/>
  <c r="B62" i="196" l="1"/>
  <c r="L15" i="196"/>
  <c r="M14" i="196"/>
  <c r="O15" i="196" l="1"/>
  <c r="M15" i="196"/>
  <c r="O16" i="196" s="1"/>
  <c r="L16" i="196"/>
  <c r="L17" i="196" l="1"/>
  <c r="M17" i="196" s="1"/>
  <c r="M16" i="196"/>
  <c r="O17" i="196" s="1"/>
  <c r="O18" i="196" l="1"/>
  <c r="B20" i="196"/>
  <c r="L41" i="1" l="1"/>
  <c r="J6" i="158" l="1"/>
  <c r="K6" i="158" s="1"/>
  <c r="J7" i="158"/>
  <c r="K7" i="158" s="1"/>
  <c r="J8" i="158"/>
  <c r="K8" i="158" s="1"/>
  <c r="J9" i="158"/>
  <c r="K9" i="158" s="1"/>
  <c r="J5" i="158"/>
  <c r="K5" i="158" s="1"/>
  <c r="K10" i="158" l="1"/>
  <c r="K11" i="158"/>
  <c r="C21" i="158" l="1"/>
  <c r="G12" i="158"/>
  <c r="C22" i="158" l="1"/>
  <c r="B54" i="72"/>
  <c r="B46" i="72"/>
  <c r="B41" i="72"/>
  <c r="B24" i="72"/>
  <c r="B55" i="2"/>
  <c r="M186" i="106"/>
  <c r="K186" i="106"/>
  <c r="D185" i="106"/>
  <c r="D183" i="106"/>
  <c r="D179" i="106"/>
  <c r="C175" i="106"/>
  <c r="C150" i="106"/>
  <c r="C152" i="106" s="1"/>
  <c r="C130" i="106"/>
  <c r="C138" i="106" s="1"/>
  <c r="C129" i="106"/>
  <c r="C125" i="106"/>
  <c r="C144" i="106"/>
  <c r="C146" i="106" s="1"/>
  <c r="C119" i="106"/>
  <c r="J76" i="106"/>
  <c r="J75" i="106"/>
  <c r="J74" i="106"/>
  <c r="J73" i="106"/>
  <c r="J72" i="106"/>
  <c r="K72" i="106"/>
  <c r="L72" i="106" s="1"/>
  <c r="C46" i="106"/>
  <c r="C47" i="106" s="1"/>
  <c r="C37" i="106"/>
  <c r="J29" i="106"/>
  <c r="J28" i="106"/>
  <c r="J27" i="106"/>
  <c r="J26" i="106"/>
  <c r="J25" i="106"/>
  <c r="K26" i="106"/>
  <c r="D85" i="163"/>
  <c r="H76" i="163"/>
  <c r="H77" i="163" s="1"/>
  <c r="D76" i="163"/>
  <c r="O75" i="163"/>
  <c r="M75" i="163"/>
  <c r="L75" i="163"/>
  <c r="J71" i="163"/>
  <c r="D59" i="163"/>
  <c r="D43" i="163"/>
  <c r="D44" i="163" s="1"/>
  <c r="D32" i="163"/>
  <c r="M86" i="90"/>
  <c r="D63" i="90"/>
  <c r="D71" i="90" s="1"/>
  <c r="D57" i="90"/>
  <c r="D69" i="90" s="1"/>
  <c r="D56" i="90"/>
  <c r="D68" i="90" s="1"/>
  <c r="D48" i="90"/>
  <c r="D49" i="90" s="1"/>
  <c r="D51" i="90" s="1"/>
  <c r="B41" i="90"/>
  <c r="D41" i="90" s="1"/>
  <c r="D68" i="107"/>
  <c r="C16" i="23" s="1"/>
  <c r="B44" i="107"/>
  <c r="J24" i="107"/>
  <c r="D21" i="107"/>
  <c r="D68" i="9"/>
  <c r="D65" i="9"/>
  <c r="D73" i="9" s="1"/>
  <c r="D59" i="9"/>
  <c r="D71" i="9" s="1"/>
  <c r="D58" i="9"/>
  <c r="B43" i="9"/>
  <c r="J25" i="9"/>
  <c r="D70" i="66"/>
  <c r="D72" i="66" s="1"/>
  <c r="D67" i="66"/>
  <c r="D73" i="66"/>
  <c r="B53" i="66"/>
  <c r="B52" i="66"/>
  <c r="B51" i="66"/>
  <c r="B48" i="66"/>
  <c r="D39" i="66"/>
  <c r="D76" i="84"/>
  <c r="D71" i="84"/>
  <c r="D79" i="84" s="1"/>
  <c r="D77" i="84"/>
  <c r="B57" i="84"/>
  <c r="D44" i="84"/>
  <c r="D40" i="84"/>
  <c r="D83" i="17"/>
  <c r="D79" i="17"/>
  <c r="D87" i="17" s="1"/>
  <c r="D84" i="17"/>
  <c r="D66" i="17"/>
  <c r="B62" i="17"/>
  <c r="B61" i="17"/>
  <c r="B60" i="17"/>
  <c r="D41" i="17"/>
  <c r="A97" i="51"/>
  <c r="A98" i="51" s="1"/>
  <c r="D67" i="51"/>
  <c r="D68" i="51" s="1"/>
  <c r="D70" i="51" s="1"/>
  <c r="D53" i="51"/>
  <c r="D61" i="51" s="1"/>
  <c r="D47" i="51"/>
  <c r="D59" i="51" s="1"/>
  <c r="D46" i="51"/>
  <c r="D58" i="51" s="1"/>
  <c r="B31" i="51"/>
  <c r="D29" i="51"/>
  <c r="D33" i="51" s="1"/>
  <c r="B59" i="171"/>
  <c r="B51" i="171"/>
  <c r="B50" i="171"/>
  <c r="B42" i="171"/>
  <c r="B33" i="171"/>
  <c r="F27" i="171"/>
  <c r="B27" i="171"/>
  <c r="B35" i="171" s="1"/>
  <c r="B36" i="171" s="1"/>
  <c r="B15" i="171"/>
  <c r="H13" i="171"/>
  <c r="H14" i="171" s="1"/>
  <c r="B12" i="171" s="1"/>
  <c r="B51" i="170"/>
  <c r="B50" i="170"/>
  <c r="B49" i="170"/>
  <c r="B48" i="170"/>
  <c r="B47" i="170"/>
  <c r="B42" i="170"/>
  <c r="B33" i="170"/>
  <c r="F27" i="170"/>
  <c r="B27" i="170"/>
  <c r="B35" i="170" s="1"/>
  <c r="B26" i="170"/>
  <c r="B15" i="170"/>
  <c r="H14" i="170"/>
  <c r="B12" i="170" s="1"/>
  <c r="B35" i="36"/>
  <c r="B26" i="36"/>
  <c r="B35" i="6"/>
  <c r="B26" i="6"/>
  <c r="B29" i="6" s="1"/>
  <c r="B53" i="6" s="1"/>
  <c r="B54" i="6" s="1"/>
  <c r="B51" i="144"/>
  <c r="A35" i="144"/>
  <c r="B29" i="144"/>
  <c r="B49" i="144"/>
  <c r="B14" i="144"/>
  <c r="B39" i="144" s="1"/>
  <c r="A35" i="137"/>
  <c r="B29" i="137"/>
  <c r="B55" i="137" s="1"/>
  <c r="B22" i="137"/>
  <c r="B48" i="137" s="1"/>
  <c r="A35" i="136"/>
  <c r="B29" i="136"/>
  <c r="B55" i="136" s="1"/>
  <c r="B52" i="131"/>
  <c r="A35" i="131"/>
  <c r="B29" i="131"/>
  <c r="B56" i="131" s="1"/>
  <c r="B51" i="131"/>
  <c r="B50" i="131"/>
  <c r="B52" i="5"/>
  <c r="B51" i="5"/>
  <c r="B29" i="5"/>
  <c r="B55" i="5" s="1"/>
  <c r="B50" i="5"/>
  <c r="B49" i="5"/>
  <c r="B15" i="5"/>
  <c r="B40" i="5" s="1"/>
  <c r="B14" i="5"/>
  <c r="B31" i="2"/>
  <c r="B61" i="2" s="1"/>
  <c r="B53" i="2"/>
  <c r="B14" i="2"/>
  <c r="B43" i="2" s="1"/>
  <c r="B56" i="1"/>
  <c r="B52" i="1"/>
  <c r="B51" i="1"/>
  <c r="B50" i="1"/>
  <c r="B40" i="1"/>
  <c r="B39" i="1"/>
  <c r="B55" i="144" l="1"/>
  <c r="B55" i="211"/>
  <c r="B56" i="211" s="1"/>
  <c r="B58" i="211" s="1"/>
  <c r="B59" i="211" s="1"/>
  <c r="C24" i="158"/>
  <c r="B52" i="2"/>
  <c r="B21" i="2"/>
  <c r="B49" i="1"/>
  <c r="B21" i="1"/>
  <c r="B48" i="1" s="1"/>
  <c r="K25" i="106"/>
  <c r="L25" i="106" s="1"/>
  <c r="M25" i="106" s="1"/>
  <c r="K73" i="106"/>
  <c r="L73" i="106" s="1"/>
  <c r="M73" i="106" s="1"/>
  <c r="D75" i="66"/>
  <c r="D77" i="66" s="1"/>
  <c r="D84" i="66" s="1"/>
  <c r="K75" i="106"/>
  <c r="B14" i="136"/>
  <c r="B39" i="136" s="1"/>
  <c r="K76" i="106"/>
  <c r="D81" i="84"/>
  <c r="D89" i="84" s="1"/>
  <c r="D79" i="51"/>
  <c r="J13" i="6"/>
  <c r="O13" i="6"/>
  <c r="B13" i="2"/>
  <c r="B42" i="2" s="1"/>
  <c r="B44" i="2" s="1"/>
  <c r="B15" i="1"/>
  <c r="B41" i="170"/>
  <c r="B43" i="170" s="1"/>
  <c r="B16" i="170"/>
  <c r="C40" i="106"/>
  <c r="B41" i="36"/>
  <c r="O13" i="36"/>
  <c r="B52" i="170"/>
  <c r="B53" i="170" s="1"/>
  <c r="A102" i="51"/>
  <c r="D70" i="9"/>
  <c r="B53" i="5"/>
  <c r="B14" i="137"/>
  <c r="B39" i="137" s="1"/>
  <c r="B41" i="137" s="1"/>
  <c r="B42" i="137" s="1"/>
  <c r="B41" i="6"/>
  <c r="B15" i="36"/>
  <c r="K16" i="36" s="1"/>
  <c r="B36" i="170"/>
  <c r="B29" i="171"/>
  <c r="B27" i="136"/>
  <c r="B53" i="136" s="1"/>
  <c r="B53" i="137" s="1"/>
  <c r="B56" i="137" s="1"/>
  <c r="J15" i="36"/>
  <c r="D85" i="17"/>
  <c r="D89" i="17" s="1"/>
  <c r="D96" i="17" s="1"/>
  <c r="D73" i="90"/>
  <c r="D80" i="90" s="1"/>
  <c r="C139" i="106"/>
  <c r="B29" i="36"/>
  <c r="B53" i="36" s="1"/>
  <c r="B54" i="36" s="1"/>
  <c r="D57" i="163"/>
  <c r="D62" i="163" s="1"/>
  <c r="D68" i="163" s="1"/>
  <c r="B13" i="131"/>
  <c r="B20" i="171"/>
  <c r="B22" i="171" s="1"/>
  <c r="B16" i="171"/>
  <c r="B41" i="171"/>
  <c r="B43" i="171" s="1"/>
  <c r="D75" i="9"/>
  <c r="D82" i="9" s="1"/>
  <c r="D39" i="51"/>
  <c r="B41" i="1"/>
  <c r="B22" i="144"/>
  <c r="B48" i="144" s="1"/>
  <c r="B36" i="6"/>
  <c r="J16" i="36"/>
  <c r="J14" i="36"/>
  <c r="J17" i="36"/>
  <c r="B29" i="170"/>
  <c r="D63" i="51"/>
  <c r="D81" i="51" s="1"/>
  <c r="C86" i="106"/>
  <c r="C132" i="106"/>
  <c r="B39" i="5"/>
  <c r="B16" i="5"/>
  <c r="E50" i="136"/>
  <c r="G50" i="136" s="1"/>
  <c r="B16" i="144"/>
  <c r="J17" i="6"/>
  <c r="J15" i="6"/>
  <c r="J13" i="36"/>
  <c r="B53" i="171"/>
  <c r="D72" i="51"/>
  <c r="D74" i="51" s="1"/>
  <c r="C92" i="106"/>
  <c r="C93" i="106" s="1"/>
  <c r="B36" i="36"/>
  <c r="B20" i="170"/>
  <c r="B54" i="131"/>
  <c r="K29" i="106"/>
  <c r="K28" i="106"/>
  <c r="K27" i="106"/>
  <c r="M72" i="106"/>
  <c r="K74" i="106"/>
  <c r="B22" i="131"/>
  <c r="B49" i="131" s="1"/>
  <c r="B22" i="5"/>
  <c r="B50" i="144"/>
  <c r="B54" i="2"/>
  <c r="J14" i="6"/>
  <c r="J16" i="6"/>
  <c r="B15" i="6"/>
  <c r="K17" i="6" s="1"/>
  <c r="B41" i="144"/>
  <c r="B42" i="144" s="1"/>
  <c r="B73" i="163"/>
  <c r="D41" i="51" l="1"/>
  <c r="D80" i="51" s="1"/>
  <c r="B64" i="6"/>
  <c r="F35" i="84" s="1"/>
  <c r="F36" i="84" s="1"/>
  <c r="B30" i="144"/>
  <c r="C154" i="106"/>
  <c r="C156" i="106" s="1"/>
  <c r="L26" i="106"/>
  <c r="M26" i="106" s="1"/>
  <c r="L74" i="106"/>
  <c r="M74" i="106" s="1"/>
  <c r="B30" i="137"/>
  <c r="B16" i="136"/>
  <c r="B30" i="136"/>
  <c r="B53" i="144"/>
  <c r="B56" i="144" s="1"/>
  <c r="K17" i="36"/>
  <c r="K14" i="36"/>
  <c r="D55" i="66"/>
  <c r="D83" i="66" s="1"/>
  <c r="D59" i="84"/>
  <c r="D88" i="84" s="1"/>
  <c r="D43" i="90"/>
  <c r="D79" i="90" s="1"/>
  <c r="B16" i="137"/>
  <c r="D64" i="17"/>
  <c r="D95" i="17" s="1"/>
  <c r="B15" i="2"/>
  <c r="K13" i="36"/>
  <c r="L13" i="36" s="1"/>
  <c r="M13" i="36" s="1"/>
  <c r="O14" i="36" s="1"/>
  <c r="D45" i="9"/>
  <c r="D80" i="9" s="1"/>
  <c r="D46" i="107"/>
  <c r="D59" i="107" s="1"/>
  <c r="B61" i="171"/>
  <c r="D39" i="163" s="1"/>
  <c r="D40" i="163" s="1"/>
  <c r="K15" i="36"/>
  <c r="B30" i="1"/>
  <c r="B64" i="36"/>
  <c r="B54" i="1"/>
  <c r="B27" i="2"/>
  <c r="B43" i="36"/>
  <c r="B39" i="131"/>
  <c r="B30" i="131"/>
  <c r="B15" i="131"/>
  <c r="B16" i="131" s="1"/>
  <c r="B41" i="136"/>
  <c r="B42" i="136" s="1"/>
  <c r="B41" i="5"/>
  <c r="K13" i="6"/>
  <c r="L13" i="6" s="1"/>
  <c r="M13" i="6" s="1"/>
  <c r="O14" i="6" s="1"/>
  <c r="B22" i="170"/>
  <c r="B58" i="170"/>
  <c r="B57" i="170"/>
  <c r="B45" i="2"/>
  <c r="B42" i="1"/>
  <c r="B30" i="5"/>
  <c r="B48" i="5"/>
  <c r="B51" i="2"/>
  <c r="K16" i="6"/>
  <c r="K15" i="6"/>
  <c r="B43" i="6"/>
  <c r="K14" i="6"/>
  <c r="F45" i="17"/>
  <c r="F35" i="204" l="1"/>
  <c r="F36" i="204" s="1"/>
  <c r="D46" i="204" s="1"/>
  <c r="D87" i="204" s="1"/>
  <c r="L75" i="106"/>
  <c r="L76" i="106" s="1"/>
  <c r="M76" i="106" s="1"/>
  <c r="L27" i="106"/>
  <c r="L14" i="36"/>
  <c r="M14" i="36" s="1"/>
  <c r="O15" i="36" s="1"/>
  <c r="C31" i="106"/>
  <c r="C59" i="106"/>
  <c r="C58" i="106"/>
  <c r="C27" i="106"/>
  <c r="C77" i="106"/>
  <c r="C105" i="106"/>
  <c r="C104" i="106"/>
  <c r="C73" i="106"/>
  <c r="L14" i="6"/>
  <c r="M14" i="6" s="1"/>
  <c r="B32" i="2"/>
  <c r="B56" i="5"/>
  <c r="B59" i="170"/>
  <c r="B61" i="170" s="1"/>
  <c r="D35" i="163" s="1"/>
  <c r="D36" i="163" s="1"/>
  <c r="D46" i="163" s="1"/>
  <c r="D67" i="163" s="1"/>
  <c r="B42" i="5"/>
  <c r="B57" i="2"/>
  <c r="B62" i="2" s="1"/>
  <c r="B57" i="1"/>
  <c r="B56" i="136"/>
  <c r="B42" i="131"/>
  <c r="B41" i="131"/>
  <c r="M75" i="106" l="1"/>
  <c r="M27" i="106"/>
  <c r="L28" i="106"/>
  <c r="L15" i="36"/>
  <c r="M15" i="36" s="1"/>
  <c r="O16" i="36" s="1"/>
  <c r="C60" i="106"/>
  <c r="C98" i="106"/>
  <c r="C100" i="106" s="1"/>
  <c r="C79" i="106"/>
  <c r="C106" i="106"/>
  <c r="C33" i="106"/>
  <c r="C54" i="106"/>
  <c r="L15" i="6"/>
  <c r="M15" i="6" s="1"/>
  <c r="O16" i="6" s="1"/>
  <c r="O15" i="6"/>
  <c r="B43" i="131"/>
  <c r="B60" i="36"/>
  <c r="B57" i="131"/>
  <c r="M28" i="106" l="1"/>
  <c r="L29" i="106"/>
  <c r="M29" i="106" s="1"/>
  <c r="L16" i="36"/>
  <c r="L17" i="36" s="1"/>
  <c r="M17" i="36" s="1"/>
  <c r="C62" i="106"/>
  <c r="C64" i="106" s="1"/>
  <c r="L16" i="6"/>
  <c r="M16" i="6" s="1"/>
  <c r="O17" i="6" s="1"/>
  <c r="C108" i="106"/>
  <c r="C110" i="106" s="1"/>
  <c r="M16" i="36" l="1"/>
  <c r="O17" i="36" s="1"/>
  <c r="L17" i="6"/>
  <c r="M17" i="6" s="1"/>
  <c r="O18" i="36"/>
  <c r="B16" i="36" l="1"/>
  <c r="B22" i="36"/>
  <c r="B20" i="36"/>
  <c r="O18" i="6"/>
  <c r="B12" i="6"/>
  <c r="B17" i="1"/>
  <c r="B32" i="1" s="1"/>
  <c r="B16" i="1"/>
  <c r="B17" i="137" s="1"/>
  <c r="B43" i="1"/>
  <c r="B43" i="5" s="1"/>
  <c r="B44" i="5" s="1"/>
  <c r="B58" i="5" s="1"/>
  <c r="B59" i="6" l="1"/>
  <c r="B58" i="6"/>
  <c r="B60" i="6" s="1"/>
  <c r="D15" i="213"/>
  <c r="D16" i="213" s="1"/>
  <c r="D17" i="213" s="1"/>
  <c r="B62" i="36"/>
  <c r="D44" i="17" s="1"/>
  <c r="D45" i="17" s="1"/>
  <c r="D51" i="17" s="1"/>
  <c r="D14" i="201"/>
  <c r="D15" i="201" s="1"/>
  <c r="D16" i="201" s="1"/>
  <c r="D14" i="207"/>
  <c r="D16" i="204"/>
  <c r="D17" i="204" s="1"/>
  <c r="D18" i="204" s="1"/>
  <c r="F26" i="207"/>
  <c r="F27" i="207" s="1"/>
  <c r="F26" i="204"/>
  <c r="F27" i="204" s="1"/>
  <c r="F28" i="204" s="1"/>
  <c r="B22" i="6"/>
  <c r="B16" i="6"/>
  <c r="B20" i="6"/>
  <c r="B16" i="2"/>
  <c r="B17" i="2" s="1"/>
  <c r="B34" i="2" s="1"/>
  <c r="B46" i="2"/>
  <c r="B47" i="2" s="1"/>
  <c r="B64" i="2" s="1"/>
  <c r="B65" i="2" s="1"/>
  <c r="D15" i="66"/>
  <c r="D16" i="66" s="1"/>
  <c r="D17" i="66" s="1"/>
  <c r="F26" i="17"/>
  <c r="F21" i="163"/>
  <c r="D9" i="163"/>
  <c r="D14" i="90"/>
  <c r="D14" i="17"/>
  <c r="D16" i="84"/>
  <c r="B43" i="137"/>
  <c r="B44" i="137" s="1"/>
  <c r="B58" i="137" s="1"/>
  <c r="B59" i="137" s="1"/>
  <c r="B18" i="137"/>
  <c r="B32" i="137" s="1"/>
  <c r="C14" i="106" s="1"/>
  <c r="F26" i="84"/>
  <c r="B17" i="131"/>
  <c r="B17" i="136"/>
  <c r="B17" i="5"/>
  <c r="B18" i="5" s="1"/>
  <c r="B32" i="5" s="1"/>
  <c r="C162" i="106" s="1"/>
  <c r="C164" i="106" s="1"/>
  <c r="C166" i="106" s="1"/>
  <c r="B33" i="1"/>
  <c r="B17" i="144"/>
  <c r="B44" i="1"/>
  <c r="B59" i="1" s="1"/>
  <c r="B59" i="5"/>
  <c r="B66" i="210" l="1"/>
  <c r="D25" i="213"/>
  <c r="D26" i="213" s="1"/>
  <c r="D27" i="213" s="1"/>
  <c r="F27" i="17"/>
  <c r="F28" i="17"/>
  <c r="D26" i="207"/>
  <c r="D27" i="207" s="1"/>
  <c r="D26" i="204"/>
  <c r="D27" i="204" s="1"/>
  <c r="D28" i="204" s="1"/>
  <c r="F14" i="207"/>
  <c r="F16" i="204"/>
  <c r="F17" i="204" s="1"/>
  <c r="F18" i="204" s="1"/>
  <c r="D16" i="207"/>
  <c r="D15" i="207"/>
  <c r="B35" i="2"/>
  <c r="D15" i="9"/>
  <c r="D17" i="9" s="1"/>
  <c r="F14" i="51"/>
  <c r="F15" i="51" s="1"/>
  <c r="D14" i="51"/>
  <c r="D15" i="107"/>
  <c r="D17" i="107" s="1"/>
  <c r="B62" i="6"/>
  <c r="B60" i="1"/>
  <c r="F9" i="163"/>
  <c r="F16" i="84"/>
  <c r="F14" i="17"/>
  <c r="F16" i="17" s="1"/>
  <c r="F27" i="84"/>
  <c r="F28" i="84" s="1"/>
  <c r="B18" i="144"/>
  <c r="B32" i="144" s="1"/>
  <c r="B43" i="144"/>
  <c r="B44" i="144" s="1"/>
  <c r="B58" i="144" s="1"/>
  <c r="B59" i="144" s="1"/>
  <c r="D26" i="17"/>
  <c r="D25" i="66"/>
  <c r="D26" i="84"/>
  <c r="B33" i="5"/>
  <c r="D21" i="163"/>
  <c r="D25" i="9"/>
  <c r="D26" i="9" s="1"/>
  <c r="D24" i="107"/>
  <c r="D25" i="107" s="1"/>
  <c r="B33" i="137"/>
  <c r="D14" i="106"/>
  <c r="D16" i="17"/>
  <c r="D15" i="17"/>
  <c r="B43" i="136"/>
  <c r="B44" i="136" s="1"/>
  <c r="B58" i="136" s="1"/>
  <c r="B18" i="136"/>
  <c r="B32" i="136" s="1"/>
  <c r="D16" i="90"/>
  <c r="F22" i="163"/>
  <c r="F23" i="163"/>
  <c r="B18" i="131"/>
  <c r="B32" i="131" s="1"/>
  <c r="B44" i="131"/>
  <c r="B45" i="131" s="1"/>
  <c r="B59" i="131" s="1"/>
  <c r="D17" i="84"/>
  <c r="D18" i="84" s="1"/>
  <c r="D11" i="163"/>
  <c r="D10" i="163"/>
  <c r="D20" i="213" l="1"/>
  <c r="D21" i="213" s="1"/>
  <c r="D22" i="213" s="1"/>
  <c r="D29" i="213" s="1"/>
  <c r="D81" i="213" s="1"/>
  <c r="F16" i="207"/>
  <c r="F28" i="207"/>
  <c r="F29" i="207" s="1"/>
  <c r="D27" i="17"/>
  <c r="D28" i="17"/>
  <c r="D28" i="207"/>
  <c r="D29" i="207" s="1"/>
  <c r="F29" i="17"/>
  <c r="D15" i="51"/>
  <c r="D16" i="51" s="1"/>
  <c r="F15" i="207"/>
  <c r="F20" i="207"/>
  <c r="F21" i="207" s="1"/>
  <c r="F21" i="204"/>
  <c r="D20" i="207"/>
  <c r="D21" i="204"/>
  <c r="D22" i="204" s="1"/>
  <c r="D23" i="204" s="1"/>
  <c r="D30" i="204" s="1"/>
  <c r="D86" i="204" s="1"/>
  <c r="D17" i="207"/>
  <c r="F16" i="51"/>
  <c r="D20" i="66"/>
  <c r="D21" i="66" s="1"/>
  <c r="D22" i="66" s="1"/>
  <c r="D19" i="201"/>
  <c r="D27" i="107"/>
  <c r="D58" i="107" s="1"/>
  <c r="D94" i="17"/>
  <c r="D34" i="66"/>
  <c r="D35" i="66" s="1"/>
  <c r="D42" i="66" s="1"/>
  <c r="D82" i="66" s="1"/>
  <c r="D51" i="107"/>
  <c r="D52" i="107" s="1"/>
  <c r="D54" i="107" s="1"/>
  <c r="D60" i="107" s="1"/>
  <c r="D35" i="84"/>
  <c r="D36" i="84" s="1"/>
  <c r="D46" i="84" s="1"/>
  <c r="D87" i="84" s="1"/>
  <c r="D50" i="9"/>
  <c r="D51" i="9" s="1"/>
  <c r="D53" i="9" s="1"/>
  <c r="D81" i="9" s="1"/>
  <c r="D12" i="163"/>
  <c r="D17" i="17"/>
  <c r="B60" i="131"/>
  <c r="F21" i="84"/>
  <c r="F20" i="17"/>
  <c r="F19" i="51"/>
  <c r="F15" i="163"/>
  <c r="C15" i="106"/>
  <c r="D15" i="106" s="1"/>
  <c r="B33" i="136"/>
  <c r="D27" i="84"/>
  <c r="D28" i="84" s="1"/>
  <c r="F17" i="84"/>
  <c r="F18" i="84" s="1"/>
  <c r="D22" i="163"/>
  <c r="D23" i="163"/>
  <c r="F11" i="163"/>
  <c r="F10" i="163"/>
  <c r="F15" i="17"/>
  <c r="D20" i="17"/>
  <c r="D22" i="17" s="1"/>
  <c r="D20" i="9"/>
  <c r="D21" i="84"/>
  <c r="D22" i="84" s="1"/>
  <c r="D23" i="84" s="1"/>
  <c r="D15" i="163"/>
  <c r="D19" i="90"/>
  <c r="D19" i="51"/>
  <c r="D20" i="51" s="1"/>
  <c r="B33" i="131"/>
  <c r="F24" i="163"/>
  <c r="D26" i="66"/>
  <c r="D27" i="66" s="1"/>
  <c r="C17" i="106"/>
  <c r="D17" i="106" s="1"/>
  <c r="B33" i="144"/>
  <c r="D91" i="204" l="1"/>
  <c r="D86" i="213"/>
  <c r="D90" i="213" s="1"/>
  <c r="D92" i="213" s="1"/>
  <c r="E14" i="23" s="1"/>
  <c r="F14" i="23" s="1"/>
  <c r="H81" i="213"/>
  <c r="G88" i="204"/>
  <c r="G89" i="204"/>
  <c r="G86" i="204"/>
  <c r="F17" i="207"/>
  <c r="D29" i="17"/>
  <c r="D20" i="201"/>
  <c r="D21" i="201" s="1"/>
  <c r="D24" i="201" s="1"/>
  <c r="D80" i="201" s="1"/>
  <c r="F21" i="17"/>
  <c r="F22" i="17"/>
  <c r="D21" i="207"/>
  <c r="D22" i="207"/>
  <c r="F22" i="207"/>
  <c r="F23" i="207" s="1"/>
  <c r="D29" i="66"/>
  <c r="D81" i="66" s="1"/>
  <c r="F12" i="163"/>
  <c r="D30" i="84"/>
  <c r="D86" i="84" s="1"/>
  <c r="D91" i="84" s="1"/>
  <c r="D18" i="106"/>
  <c r="F20" i="51"/>
  <c r="F21" i="51" s="1"/>
  <c r="D21" i="51"/>
  <c r="F17" i="163"/>
  <c r="F16" i="163"/>
  <c r="D16" i="163"/>
  <c r="D17" i="163"/>
  <c r="D21" i="90"/>
  <c r="D24" i="90" s="1"/>
  <c r="D77" i="90" s="1"/>
  <c r="D22" i="9"/>
  <c r="D28" i="9" s="1"/>
  <c r="D79" i="9" s="1"/>
  <c r="F17" i="17"/>
  <c r="D21" i="17"/>
  <c r="D24" i="163"/>
  <c r="E9" i="221" l="1"/>
  <c r="G9" i="221" s="1"/>
  <c r="D95" i="84"/>
  <c r="D97" i="84" s="1"/>
  <c r="D103" i="84"/>
  <c r="D82" i="90"/>
  <c r="F79" i="90" s="1"/>
  <c r="D84" i="9"/>
  <c r="E14" i="221" s="1"/>
  <c r="H84" i="213"/>
  <c r="H82" i="213"/>
  <c r="H83" i="213"/>
  <c r="D85" i="201"/>
  <c r="D89" i="201" s="1"/>
  <c r="D91" i="201" s="1"/>
  <c r="E13" i="221"/>
  <c r="H13" i="221" s="1"/>
  <c r="E10" i="221"/>
  <c r="H10" i="221" s="1"/>
  <c r="D95" i="204"/>
  <c r="D97" i="204" s="1"/>
  <c r="E11" i="23" s="1"/>
  <c r="F11" i="23" s="1"/>
  <c r="G87" i="204"/>
  <c r="G90" i="204" s="1"/>
  <c r="D23" i="51"/>
  <c r="D78" i="51" s="1"/>
  <c r="D88" i="213"/>
  <c r="D88" i="9"/>
  <c r="D86" i="9" s="1"/>
  <c r="D86" i="66"/>
  <c r="H81" i="66" s="1"/>
  <c r="G10" i="221"/>
  <c r="I10" i="221" s="1"/>
  <c r="C177" i="106"/>
  <c r="F23" i="17"/>
  <c r="D23" i="207"/>
  <c r="D31" i="207" s="1"/>
  <c r="D97" i="207" s="1"/>
  <c r="D18" i="163"/>
  <c r="D23" i="17"/>
  <c r="F18" i="163"/>
  <c r="G79" i="9" l="1"/>
  <c r="F78" i="90"/>
  <c r="G13" i="221"/>
  <c r="I13" i="221" s="1"/>
  <c r="E16" i="221"/>
  <c r="G16" i="221" s="1"/>
  <c r="I16" i="221" s="1"/>
  <c r="E12" i="221"/>
  <c r="G12" i="221" s="1"/>
  <c r="I12" i="221" s="1"/>
  <c r="F77" i="90"/>
  <c r="D86" i="90"/>
  <c r="D84" i="90" s="1"/>
  <c r="F80" i="90"/>
  <c r="F81" i="90" s="1"/>
  <c r="D69" i="163"/>
  <c r="G175" i="106"/>
  <c r="G156" i="106"/>
  <c r="G18" i="106"/>
  <c r="G110" i="106"/>
  <c r="G64" i="106"/>
  <c r="G166" i="106"/>
  <c r="H86" i="84"/>
  <c r="H85" i="213"/>
  <c r="D93" i="204"/>
  <c r="D102" i="207"/>
  <c r="H97" i="207" s="1"/>
  <c r="G81" i="201"/>
  <c r="G82" i="201"/>
  <c r="G83" i="201"/>
  <c r="G80" i="9"/>
  <c r="G81" i="9"/>
  <c r="G82" i="9"/>
  <c r="D83" i="51"/>
  <c r="I78" i="51"/>
  <c r="H84" i="66"/>
  <c r="H82" i="66"/>
  <c r="H83" i="66"/>
  <c r="G80" i="201"/>
  <c r="H87" i="84"/>
  <c r="H89" i="84"/>
  <c r="H88" i="84"/>
  <c r="E10" i="23"/>
  <c r="F10" i="23" s="1"/>
  <c r="D88" i="90"/>
  <c r="D90" i="9"/>
  <c r="E15" i="23" s="1"/>
  <c r="F15" i="23" s="1"/>
  <c r="E11" i="221"/>
  <c r="D90" i="66"/>
  <c r="I86" i="66"/>
  <c r="I88" i="66" s="1"/>
  <c r="S13" i="221"/>
  <c r="U13" i="221"/>
  <c r="J13" i="221"/>
  <c r="N13" i="221"/>
  <c r="K13" i="221"/>
  <c r="T13" i="221"/>
  <c r="M13" i="221"/>
  <c r="P13" i="221"/>
  <c r="R13" i="221"/>
  <c r="L13" i="221"/>
  <c r="Q13" i="221"/>
  <c r="O13" i="221"/>
  <c r="L10" i="221"/>
  <c r="J10" i="221"/>
  <c r="T10" i="221"/>
  <c r="P10" i="221"/>
  <c r="N10" i="221"/>
  <c r="R10" i="221"/>
  <c r="M10" i="221"/>
  <c r="O10" i="221"/>
  <c r="K10" i="221"/>
  <c r="S10" i="221"/>
  <c r="U10" i="221"/>
  <c r="Q10" i="221"/>
  <c r="D87" i="201"/>
  <c r="D63" i="107"/>
  <c r="E23" i="221"/>
  <c r="C181" i="106"/>
  <c r="G14" i="221"/>
  <c r="I14" i="221" s="1"/>
  <c r="H14" i="221"/>
  <c r="I9" i="221"/>
  <c r="H9" i="221"/>
  <c r="E13" i="23"/>
  <c r="F13" i="23" s="1"/>
  <c r="D31" i="17"/>
  <c r="D93" i="17" s="1"/>
  <c r="D26" i="163"/>
  <c r="D66" i="163" s="1"/>
  <c r="H16" i="221" l="1"/>
  <c r="H12" i="221"/>
  <c r="D106" i="207"/>
  <c r="D108" i="207" s="1"/>
  <c r="E18" i="23" s="1"/>
  <c r="F18" i="23" s="1"/>
  <c r="H99" i="207"/>
  <c r="H98" i="207"/>
  <c r="E17" i="221"/>
  <c r="H17" i="221" s="1"/>
  <c r="I175" i="106"/>
  <c r="H100" i="207"/>
  <c r="G83" i="9"/>
  <c r="H85" i="66"/>
  <c r="G84" i="201"/>
  <c r="D93" i="84"/>
  <c r="H90" i="84"/>
  <c r="I79" i="51"/>
  <c r="I83" i="51"/>
  <c r="I81" i="51"/>
  <c r="I80" i="51"/>
  <c r="E7" i="221"/>
  <c r="D87" i="51"/>
  <c r="D89" i="51" s="1"/>
  <c r="E17" i="23"/>
  <c r="F59" i="107"/>
  <c r="F60" i="107"/>
  <c r="F58" i="107"/>
  <c r="E15" i="221"/>
  <c r="G63" i="107"/>
  <c r="D67" i="107"/>
  <c r="D69" i="107" s="1"/>
  <c r="C179" i="106"/>
  <c r="C183" i="106"/>
  <c r="E24" i="23" s="1"/>
  <c r="F24" i="23" s="1"/>
  <c r="H23" i="221"/>
  <c r="G23" i="221"/>
  <c r="I23" i="221" s="1"/>
  <c r="V13" i="221"/>
  <c r="P12" i="221"/>
  <c r="R12" i="221"/>
  <c r="K12" i="221"/>
  <c r="M12" i="221"/>
  <c r="Q12" i="221"/>
  <c r="S12" i="221"/>
  <c r="L12" i="221"/>
  <c r="T12" i="221"/>
  <c r="U12" i="221"/>
  <c r="O12" i="221"/>
  <c r="J12" i="221"/>
  <c r="N12" i="221"/>
  <c r="D98" i="17"/>
  <c r="Q14" i="221"/>
  <c r="N14" i="221"/>
  <c r="R14" i="221"/>
  <c r="K14" i="221"/>
  <c r="O14" i="221"/>
  <c r="L14" i="221"/>
  <c r="U14" i="221"/>
  <c r="J14" i="221"/>
  <c r="S14" i="221"/>
  <c r="P14" i="221"/>
  <c r="T14" i="221"/>
  <c r="M14" i="221"/>
  <c r="O16" i="221"/>
  <c r="M16" i="221"/>
  <c r="T16" i="221"/>
  <c r="K16" i="221"/>
  <c r="P16" i="221"/>
  <c r="U16" i="221"/>
  <c r="Q16" i="221"/>
  <c r="J16" i="221"/>
  <c r="S16" i="221"/>
  <c r="R16" i="221"/>
  <c r="N16" i="221"/>
  <c r="L16" i="221"/>
  <c r="D92" i="66"/>
  <c r="E12" i="23" s="1"/>
  <c r="F12" i="23" s="1"/>
  <c r="D88" i="66"/>
  <c r="V10" i="221"/>
  <c r="G11" i="221"/>
  <c r="I11" i="221" s="1"/>
  <c r="H11" i="221"/>
  <c r="J9" i="221"/>
  <c r="R9" i="221"/>
  <c r="L9" i="221"/>
  <c r="P9" i="221"/>
  <c r="K9" i="221"/>
  <c r="S9" i="221"/>
  <c r="T9" i="221"/>
  <c r="O9" i="221"/>
  <c r="M9" i="221"/>
  <c r="U9" i="221"/>
  <c r="Q9" i="221"/>
  <c r="N9" i="221"/>
  <c r="D71" i="163"/>
  <c r="E7" i="23" l="1"/>
  <c r="F7" i="23" s="1"/>
  <c r="D104" i="207"/>
  <c r="G17" i="221"/>
  <c r="I17" i="221" s="1"/>
  <c r="P17" i="221" s="1"/>
  <c r="H101" i="207"/>
  <c r="I82" i="51"/>
  <c r="D85" i="51"/>
  <c r="H7" i="221"/>
  <c r="G7" i="221"/>
  <c r="I7" i="221" s="1"/>
  <c r="I93" i="17"/>
  <c r="I95" i="17"/>
  <c r="I96" i="17"/>
  <c r="I98" i="17"/>
  <c r="D102" i="17"/>
  <c r="D104" i="17" s="1"/>
  <c r="E8" i="23" s="1"/>
  <c r="I94" i="17"/>
  <c r="F17" i="23"/>
  <c r="F62" i="107"/>
  <c r="G15" i="221"/>
  <c r="I15" i="221" s="1"/>
  <c r="H15" i="221"/>
  <c r="E16" i="23"/>
  <c r="D65" i="107"/>
  <c r="V14" i="221"/>
  <c r="E8" i="221"/>
  <c r="G8" i="221" s="1"/>
  <c r="J23" i="221"/>
  <c r="U23" i="221"/>
  <c r="R23" i="221"/>
  <c r="Q23" i="221"/>
  <c r="L23" i="221"/>
  <c r="N23" i="221"/>
  <c r="K23" i="221"/>
  <c r="O23" i="221"/>
  <c r="T23" i="221"/>
  <c r="P23" i="221"/>
  <c r="M23" i="221"/>
  <c r="S23" i="221"/>
  <c r="J17" i="221"/>
  <c r="T17" i="221"/>
  <c r="L17" i="221"/>
  <c r="V12" i="221"/>
  <c r="K11" i="221"/>
  <c r="M11" i="221"/>
  <c r="U11" i="221"/>
  <c r="P11" i="221"/>
  <c r="S11" i="221"/>
  <c r="L11" i="221"/>
  <c r="O11" i="221"/>
  <c r="R11" i="221"/>
  <c r="T11" i="221"/>
  <c r="N11" i="221"/>
  <c r="Q11" i="221"/>
  <c r="J11" i="221"/>
  <c r="V16" i="221"/>
  <c r="V9" i="221"/>
  <c r="I67" i="163"/>
  <c r="D82" i="163"/>
  <c r="D83" i="163" s="1"/>
  <c r="I68" i="163"/>
  <c r="D75" i="163"/>
  <c r="I66" i="163"/>
  <c r="K17" i="221" l="1"/>
  <c r="S17" i="221"/>
  <c r="N17" i="221"/>
  <c r="U17" i="221"/>
  <c r="R17" i="221"/>
  <c r="Q17" i="221"/>
  <c r="V17" i="221" s="1"/>
  <c r="M17" i="221"/>
  <c r="O17" i="221"/>
  <c r="P7" i="221"/>
  <c r="U7" i="221"/>
  <c r="L7" i="221"/>
  <c r="S7" i="221"/>
  <c r="R7" i="221"/>
  <c r="T7" i="221"/>
  <c r="J7" i="221"/>
  <c r="K7" i="221"/>
  <c r="M7" i="221"/>
  <c r="N7" i="221"/>
  <c r="O7" i="221"/>
  <c r="Q7" i="221"/>
  <c r="I97" i="17"/>
  <c r="F16" i="23"/>
  <c r="V23" i="221"/>
  <c r="I8" i="221"/>
  <c r="H8" i="221"/>
  <c r="V11" i="221"/>
  <c r="F8" i="23"/>
  <c r="D100" i="17"/>
  <c r="Q15" i="221"/>
  <c r="U15" i="221"/>
  <c r="O15" i="221"/>
  <c r="S15" i="221"/>
  <c r="L15" i="221"/>
  <c r="J15" i="221"/>
  <c r="M15" i="221"/>
  <c r="N15" i="221"/>
  <c r="R15" i="221"/>
  <c r="P15" i="221"/>
  <c r="T15" i="221"/>
  <c r="K15" i="221"/>
  <c r="D73" i="163"/>
  <c r="D77" i="163"/>
  <c r="V7" i="221" l="1"/>
  <c r="V15" i="221"/>
  <c r="T8" i="221"/>
  <c r="U8" i="221"/>
  <c r="R8" i="221"/>
  <c r="K8" i="221"/>
  <c r="P8" i="221"/>
  <c r="J8" i="221"/>
  <c r="N8" i="221"/>
  <c r="M8" i="221"/>
  <c r="O8" i="221"/>
  <c r="Q8" i="221"/>
  <c r="S8" i="221"/>
  <c r="L8" i="221"/>
  <c r="V8" i="221" l="1"/>
  <c r="H22" i="221" l="1"/>
  <c r="G22" i="221"/>
  <c r="I22" i="221" l="1"/>
  <c r="S22" i="221" s="1"/>
  <c r="F23" i="23"/>
  <c r="M22" i="221" l="1"/>
  <c r="O22" i="221"/>
  <c r="T22" i="221"/>
  <c r="U22" i="221"/>
  <c r="Q22" i="221"/>
  <c r="R22" i="221"/>
  <c r="J22" i="221"/>
  <c r="N22" i="221"/>
  <c r="L22" i="221"/>
  <c r="K22" i="221"/>
  <c r="P22" i="221"/>
  <c r="V22" i="221" l="1"/>
  <c r="H21" i="221" l="1"/>
  <c r="G21" i="221"/>
  <c r="I21" i="221" l="1"/>
  <c r="F22" i="23"/>
  <c r="Q21" i="221"/>
  <c r="U21" i="221"/>
  <c r="N21" i="221"/>
  <c r="P21" i="221"/>
  <c r="T21" i="221"/>
  <c r="R21" i="221"/>
  <c r="K21" i="221"/>
  <c r="J21" i="221"/>
  <c r="L21" i="221"/>
  <c r="M21" i="221"/>
  <c r="O21" i="221"/>
  <c r="S21" i="221"/>
  <c r="V21" i="221" l="1"/>
  <c r="E19" i="221" l="1"/>
  <c r="E20" i="23"/>
  <c r="F20" i="23" s="1"/>
  <c r="G19" i="221" l="1"/>
  <c r="I19" i="221" s="1"/>
  <c r="H19" i="221"/>
  <c r="J19" i="221" l="1"/>
  <c r="U19" i="221"/>
  <c r="O19" i="221"/>
  <c r="S19" i="221"/>
  <c r="M19" i="221"/>
  <c r="L19" i="221"/>
  <c r="P19" i="221"/>
  <c r="Q19" i="221"/>
  <c r="K19" i="221"/>
  <c r="N19" i="221"/>
  <c r="R19" i="221"/>
  <c r="T19" i="221"/>
  <c r="I20" i="221" l="1"/>
  <c r="H20" i="221"/>
  <c r="H25" i="221" s="1"/>
  <c r="V19" i="221"/>
  <c r="E21" i="23"/>
  <c r="F21" i="23" s="1"/>
  <c r="F26" i="23" l="1"/>
  <c r="K20" i="221"/>
  <c r="K25" i="221" s="1"/>
  <c r="N20" i="221"/>
  <c r="N25" i="221" s="1"/>
  <c r="O20" i="221"/>
  <c r="O25" i="221" s="1"/>
  <c r="L20" i="221"/>
  <c r="L25" i="221" s="1"/>
  <c r="U20" i="221"/>
  <c r="U25" i="221" s="1"/>
  <c r="T20" i="221"/>
  <c r="T25" i="221" s="1"/>
  <c r="P20" i="221"/>
  <c r="P25" i="221" s="1"/>
  <c r="M20" i="221"/>
  <c r="M25" i="221" s="1"/>
  <c r="J20" i="221"/>
  <c r="S20" i="221"/>
  <c r="S25" i="221" s="1"/>
  <c r="R20" i="221"/>
  <c r="R25" i="221" s="1"/>
  <c r="Q20" i="221"/>
  <c r="Q25" i="221" s="1"/>
  <c r="I25" i="221"/>
  <c r="F28" i="23" l="1"/>
  <c r="V20" i="221"/>
  <c r="J25" i="221"/>
  <c r="V25" i="221" s="1"/>
</calcChain>
</file>

<file path=xl/sharedStrings.xml><?xml version="1.0" encoding="utf-8"?>
<sst xmlns="http://schemas.openxmlformats.org/spreadsheetml/2006/main" count="4252" uniqueCount="821">
  <si>
    <t>COMPOSIÇÃO DE PREÇOS UNITÁRIOS</t>
  </si>
  <si>
    <t>A - MÃO DE OBRA</t>
  </si>
  <si>
    <t xml:space="preserve">   A1 - Salário Mensal do Coletor</t>
  </si>
  <si>
    <t xml:space="preserve">   A2 - Insalubridade (40%)</t>
  </si>
  <si>
    <t xml:space="preserve">   A3 - Subtotal</t>
  </si>
  <si>
    <t xml:space="preserve">   A4 - Encargos Sociais (Em %)</t>
  </si>
  <si>
    <t xml:space="preserve">   A5 - CUSTO MENSAL COM MÃO-DE-OBRA</t>
  </si>
  <si>
    <t xml:space="preserve">   </t>
  </si>
  <si>
    <t xml:space="preserve"> </t>
  </si>
  <si>
    <t>C - CUSTO DIRETO MENSAL</t>
  </si>
  <si>
    <t xml:space="preserve">   A2 - Insalubridade (20%)</t>
  </si>
  <si>
    <t>B1 - DEPRECIAÇÃO</t>
  </si>
  <si>
    <t xml:space="preserve">   B1.1 - Preço de Aquisição </t>
  </si>
  <si>
    <t xml:space="preserve">   B1.3 - Valor Residual (Em Percentual)</t>
  </si>
  <si>
    <t xml:space="preserve">B2 - CUSTO DO CAPITAL IMOBILIZADO </t>
  </si>
  <si>
    <t>A - DEPRECIAÇÃO</t>
  </si>
  <si>
    <t xml:space="preserve">   A2 - Vida Útil do Equipamento (Em meses)</t>
  </si>
  <si>
    <t xml:space="preserve">   A3 - Valor Residual (Em Percentual)</t>
  </si>
  <si>
    <t xml:space="preserve">B - CUSTO DO CAPITAL IMOBILIZADO </t>
  </si>
  <si>
    <t xml:space="preserve">   B1 - Custo de Aquisição</t>
  </si>
  <si>
    <t xml:space="preserve">   B2 - Taxa de Juros Mensal</t>
  </si>
  <si>
    <t xml:space="preserve">   B3 - CUSTO MENSAL COM JUROS</t>
  </si>
  <si>
    <t>C - COMBUSTÍVEL</t>
  </si>
  <si>
    <t xml:space="preserve">   C1 - Preço de Um Litro de Óleo Diesel</t>
  </si>
  <si>
    <t xml:space="preserve">   C3 - Número de Km Rodados com Um Litro</t>
  </si>
  <si>
    <t xml:space="preserve">   C4 - CUSTO COM COMBUSTÍVEL MENSAL</t>
  </si>
  <si>
    <t>D - PNEUS</t>
  </si>
  <si>
    <t xml:space="preserve">   D2 - Kilometros Rodados Com um Rodízio</t>
  </si>
  <si>
    <t xml:space="preserve">   D4 - CUSTO COM PNEUS E CÂMARAS</t>
  </si>
  <si>
    <t>E - MANUTENÇÃO</t>
  </si>
  <si>
    <t xml:space="preserve">   E1 - Custo de Manutenção na Vida Útil (Em %)</t>
  </si>
  <si>
    <t xml:space="preserve">   E2 - Custo do Equipamento</t>
  </si>
  <si>
    <t xml:space="preserve">   E3 - Vida Útil do Equipamento (Em Meses)</t>
  </si>
  <si>
    <t xml:space="preserve">   E4 - CUSTO DE MANUTENÇÃO POR MES</t>
  </si>
  <si>
    <t>1.0 - CUSTO DA MÃO DE OBRA</t>
  </si>
  <si>
    <t>un</t>
  </si>
  <si>
    <t>R$/unidade</t>
  </si>
  <si>
    <t>R$</t>
  </si>
  <si>
    <t>Fiscal/Encarregado</t>
  </si>
  <si>
    <t>valor mensal de um fiscal</t>
  </si>
  <si>
    <t>total mensal com fiscal</t>
  </si>
  <si>
    <t>Quantidade</t>
  </si>
  <si>
    <t>Subtotal</t>
  </si>
  <si>
    <t>R$/mes</t>
  </si>
  <si>
    <t>3.0 RESUMO DOS CUSTOS</t>
  </si>
  <si>
    <t>Km</t>
  </si>
  <si>
    <t>valor mensal de um coletor</t>
  </si>
  <si>
    <t>Total de coletores</t>
  </si>
  <si>
    <t>Total de Fiscal/Encarregados</t>
  </si>
  <si>
    <t>Motorista</t>
  </si>
  <si>
    <t>valor mensal de um motorista</t>
  </si>
  <si>
    <t>total mensal com motorista</t>
  </si>
  <si>
    <t>Total de Motoristas</t>
  </si>
  <si>
    <t>valor mensal de um veículo</t>
  </si>
  <si>
    <t>Total com caçambas</t>
  </si>
  <si>
    <t>meses</t>
  </si>
  <si>
    <t>Amortização mensal</t>
  </si>
  <si>
    <t>Juros do capital para aquisição</t>
  </si>
  <si>
    <t>Equipamentos</t>
  </si>
  <si>
    <t>PREÇO</t>
  </si>
  <si>
    <t>ITEM</t>
  </si>
  <si>
    <t>DESCRIÇÃO DOS SERVIÇOS</t>
  </si>
  <si>
    <t>QUANT.</t>
  </si>
  <si>
    <t>UNID.</t>
  </si>
  <si>
    <t>UNITÁRIO</t>
  </si>
  <si>
    <t>TOTAL</t>
  </si>
  <si>
    <t>4.0 RESUMO DOS CUSTOS</t>
  </si>
  <si>
    <t>Ferramentas</t>
  </si>
  <si>
    <t>Mão de obra</t>
  </si>
  <si>
    <t>Sub - total</t>
  </si>
  <si>
    <t>Prazo do contrato em meses</t>
  </si>
  <si>
    <t>R$/Mês</t>
  </si>
  <si>
    <t>Taxa de juros mensais</t>
  </si>
  <si>
    <t>-</t>
  </si>
  <si>
    <t>F - CUSTO COM LAVAGEM E LUBRIFICAÇÃO</t>
  </si>
  <si>
    <t xml:space="preserve">   F1 -  Óleo de Motor</t>
  </si>
  <si>
    <t xml:space="preserve">   F2 - Óleo de Transmissão</t>
  </si>
  <si>
    <t xml:space="preserve">   F3 - Óleo Hidraúlico</t>
  </si>
  <si>
    <t xml:space="preserve">   F4 - Graxa</t>
  </si>
  <si>
    <t xml:space="preserve">   F6 - Filtros ( 15 % do Valor Total )</t>
  </si>
  <si>
    <t xml:space="preserve">   F7 - CUSTO C/ LAVAGEM E LUBRIFICAÇÃO MENSAL</t>
  </si>
  <si>
    <t>G - CUSTO COM LICENCIAMENTO</t>
  </si>
  <si>
    <t xml:space="preserve">   G3 - CUSTO COM LICENCIAMENTO</t>
  </si>
  <si>
    <t>H - CUSTO DIRETO MENSAL</t>
  </si>
  <si>
    <t>3.0 - FERRAMENTAS</t>
  </si>
  <si>
    <t>Lutocar</t>
  </si>
  <si>
    <t>R$/Km</t>
  </si>
  <si>
    <t>2.0 - EQUIPAMENTOS</t>
  </si>
  <si>
    <t>Coletor</t>
  </si>
  <si>
    <t>2.0 - FERRAMENTAS</t>
  </si>
  <si>
    <t>B - FARDAMENTO / ALIMENTAÇÃO</t>
  </si>
  <si>
    <t>total mensal com coletor</t>
  </si>
  <si>
    <t>Total de Coletor</t>
  </si>
  <si>
    <t>Total com compactador</t>
  </si>
  <si>
    <t xml:space="preserve">   D1 - Preço de um rodízio de pneus ( 6 pneus completos)</t>
  </si>
  <si>
    <t>Varredor</t>
  </si>
  <si>
    <t>Item</t>
  </si>
  <si>
    <t>Descrição</t>
  </si>
  <si>
    <t>Garfo</t>
  </si>
  <si>
    <t>Gadanho</t>
  </si>
  <si>
    <t>Vassourão</t>
  </si>
  <si>
    <t>Enxada</t>
  </si>
  <si>
    <t>Cone</t>
  </si>
  <si>
    <t>Balde/brocha</t>
  </si>
  <si>
    <t>Foice</t>
  </si>
  <si>
    <t>Chibanca</t>
  </si>
  <si>
    <t>Ciscador</t>
  </si>
  <si>
    <t>Estrovenga</t>
  </si>
  <si>
    <t>Sacos 100l</t>
  </si>
  <si>
    <t>Colete Refletivo</t>
  </si>
  <si>
    <t>Cone (grande)</t>
  </si>
  <si>
    <t xml:space="preserve">   B1 - Fardamento Mensal </t>
  </si>
  <si>
    <t xml:space="preserve">Pá </t>
  </si>
  <si>
    <t>unid</t>
  </si>
  <si>
    <t>Kg</t>
  </si>
  <si>
    <t xml:space="preserve">Garfo </t>
  </si>
  <si>
    <t xml:space="preserve">Vassourão </t>
  </si>
  <si>
    <t xml:space="preserve">Gadanho </t>
  </si>
  <si>
    <t xml:space="preserve">Enxada </t>
  </si>
  <si>
    <t>Carro de mão</t>
  </si>
  <si>
    <t xml:space="preserve">Chibanca </t>
  </si>
  <si>
    <t xml:space="preserve">Ciscador </t>
  </si>
  <si>
    <t xml:space="preserve">Estrovenga </t>
  </si>
  <si>
    <t xml:space="preserve">Cone </t>
  </si>
  <si>
    <t>Cal/hidracor</t>
  </si>
  <si>
    <t xml:space="preserve">Foice </t>
  </si>
  <si>
    <t>Pá</t>
  </si>
  <si>
    <t>kg</t>
  </si>
  <si>
    <t xml:space="preserve">Balde/brocha </t>
  </si>
  <si>
    <t xml:space="preserve">Cal/hidracor </t>
  </si>
  <si>
    <t>R$/mês</t>
  </si>
  <si>
    <t>Adicional de domingos e feriados</t>
  </si>
  <si>
    <t xml:space="preserve">   B1 - Fardamento Mensal</t>
  </si>
  <si>
    <t xml:space="preserve">   B.3.1 - Preço de Um Litro de Gasolina</t>
  </si>
  <si>
    <t xml:space="preserve">   B.3.3 - Número de Km Rodados com Um Litro</t>
  </si>
  <si>
    <t xml:space="preserve">   B.3.4 - CUSTO COM COMBUSTÍVEL MENSAL</t>
  </si>
  <si>
    <t xml:space="preserve">   B.4.2 - Kilometros Rodados Com um Rodízio</t>
  </si>
  <si>
    <t xml:space="preserve">   B.4.4 - CUSTO COM PNEUS E CÂMARAS</t>
  </si>
  <si>
    <t>B3 - COMBUSTÍVEL</t>
  </si>
  <si>
    <t>B4 - PNEUS</t>
  </si>
  <si>
    <t>B5 - MANUTENÇÃO</t>
  </si>
  <si>
    <t xml:space="preserve">   B.5.1 - Custo de Manutenção na Vida Útil (Em %)</t>
  </si>
  <si>
    <t xml:space="preserve">   B.5.2 - Custo do Equipamento</t>
  </si>
  <si>
    <t xml:space="preserve">   B.5.3 - Vida Útil do Equipamento (Em Meses)</t>
  </si>
  <si>
    <t xml:space="preserve">   B.5.4 - CUSTO DE MANUTENÇÃO POR MES</t>
  </si>
  <si>
    <t>B6 - CUSTO COM LICENCIAMENTO</t>
  </si>
  <si>
    <t xml:space="preserve">   B.6.3 - CUSTO COM LICENCIAMENTO</t>
  </si>
  <si>
    <t>B7 - CUSTO DIRETO MENSAL P/ VEICULO</t>
  </si>
  <si>
    <t>2.0 - CUSTO DO LUTOCAR / SACOS PLÁSTICOS</t>
  </si>
  <si>
    <t xml:space="preserve">   A1 - Preço de Aquisição (CHASSIS + CAÇAMBA)</t>
  </si>
  <si>
    <t xml:space="preserve">   G2 - IPVA/Seguro Obrigatório</t>
  </si>
  <si>
    <t xml:space="preserve">   G1 - SEGURO</t>
  </si>
  <si>
    <t xml:space="preserve">   A1 - Preço de Aquisição (CHASSIS + COMPACTADOR)</t>
  </si>
  <si>
    <t>COMPOSIÇÃO AUXILIAR - AGENTE DE VARRIÇÃO, CAPINAÇÃO E SERVIÇOS</t>
  </si>
  <si>
    <t xml:space="preserve">   B.6.1 - SEGURO</t>
  </si>
  <si>
    <t>COMPOSIÇÃO AUXILIAR - COLETOR (TURNO NOTURNO)</t>
  </si>
  <si>
    <t xml:space="preserve">          B1.1 - Fardamento completo</t>
  </si>
  <si>
    <t xml:space="preserve">          B1.3 - Luvas </t>
  </si>
  <si>
    <t xml:space="preserve">          B1.4 - Colete refletivo </t>
  </si>
  <si>
    <t>diurno</t>
  </si>
  <si>
    <t>noturno</t>
  </si>
  <si>
    <t>3.0 - FERRAMENTAS/ INSUMOS</t>
  </si>
  <si>
    <t>Agente de capinação</t>
  </si>
  <si>
    <t>Papeleiras</t>
  </si>
  <si>
    <t>Lutocar/ sacos</t>
  </si>
  <si>
    <t>Caminhão compactador 15 m³</t>
  </si>
  <si>
    <t xml:space="preserve">          B2.1 - Café da manhã</t>
  </si>
  <si>
    <t xml:space="preserve">          B2.2 - Cesta Básica</t>
  </si>
  <si>
    <t xml:space="preserve">   A1 - Salário Mensal do Motorista</t>
  </si>
  <si>
    <t xml:space="preserve">   B3 - Vale transporte</t>
  </si>
  <si>
    <t>Caçamba basculante e/ ou carroceria</t>
  </si>
  <si>
    <t xml:space="preserve">                                          CORRELATOS</t>
  </si>
  <si>
    <t xml:space="preserve">   A1 - Salário Mensal do Agente</t>
  </si>
  <si>
    <t xml:space="preserve">                                          CORRELATOS (TURNO NOTURNO)</t>
  </si>
  <si>
    <t xml:space="preserve">   A1 - Salário Mensal do Encarregado</t>
  </si>
  <si>
    <t xml:space="preserve">   A3 - Adicional noturno </t>
  </si>
  <si>
    <t xml:space="preserve">   A4 - Subtotal</t>
  </si>
  <si>
    <t xml:space="preserve">   A5 - Encargos Sociais (Em %)</t>
  </si>
  <si>
    <t xml:space="preserve">   A6 - CUSTO MENSAL COM MÃO-DE-OBRA</t>
  </si>
  <si>
    <t xml:space="preserve">   F1 - Óleo de Motor</t>
  </si>
  <si>
    <t>Total  Mensal</t>
  </si>
  <si>
    <t>TOTAL CUSTO DE MÃO-DE-OBRA</t>
  </si>
  <si>
    <t>TOTAL EQUIPAMENTOS/SACOS PLÁSTICOS</t>
  </si>
  <si>
    <t>TOTAL FERRAMENTAS</t>
  </si>
  <si>
    <t>TOTAL PAPELEIRAS</t>
  </si>
  <si>
    <t>CUSTO TOTAL</t>
  </si>
  <si>
    <t>4 - PAPELEIRAS</t>
  </si>
  <si>
    <t>EDITAL DE DE CONCORRÊNCIA N° 001/05</t>
  </si>
  <si>
    <t>TOTAL CUSTO EQUIPAMENTOS</t>
  </si>
  <si>
    <t>TOTAL FERRAMENTAS/INSUMOS</t>
  </si>
  <si>
    <t xml:space="preserve">   A2 - Insalubridade </t>
  </si>
  <si>
    <t>TOTAL DE MÃO DE OBRA</t>
  </si>
  <si>
    <t>TOTAL EQUIPAMENTOS</t>
  </si>
  <si>
    <t>8.0  CUSTO/ UNIDADE</t>
  </si>
  <si>
    <t>9.0  Unidade mensal</t>
  </si>
  <si>
    <t>10.0 Custo/unid</t>
  </si>
  <si>
    <t>TOTAL DA MÃO DE OBRA</t>
  </si>
  <si>
    <t>TOTAL DE FERRAMENTAS</t>
  </si>
  <si>
    <t>Fardas (Fiscal / Encarregado)</t>
  </si>
  <si>
    <t>Fardas (Auxiliares / Coletores)</t>
  </si>
  <si>
    <t>Sapatos (Auxiliares / Coletores)</t>
  </si>
  <si>
    <t>Sapatos (Fiscal / Encarregado)</t>
  </si>
  <si>
    <t xml:space="preserve">          B1.2 - Calçado Tipo Tênis</t>
  </si>
  <si>
    <t xml:space="preserve">          B1.2 - Calçado </t>
  </si>
  <si>
    <t xml:space="preserve">   B1.2 - Vida Útil do Equipamento </t>
  </si>
  <si>
    <t>R$/l</t>
  </si>
  <si>
    <t>Km/l</t>
  </si>
  <si>
    <t>Km/mês</t>
  </si>
  <si>
    <t xml:space="preserve">   B2 - Alimentação (Café da manhã)</t>
  </si>
  <si>
    <t>Luvas plásticas</t>
  </si>
  <si>
    <t>Luvas de tecido</t>
  </si>
  <si>
    <t>Data: 12/09/06</t>
  </si>
  <si>
    <t xml:space="preserve">   B.4.1 - Preço de um rodízio de pneus </t>
  </si>
  <si>
    <t>Total</t>
  </si>
  <si>
    <t>R$/m3</t>
  </si>
  <si>
    <t>PREFEITURA MUNICIPAL DE SALGUEIRO</t>
  </si>
  <si>
    <t xml:space="preserve">EDITAL DE DE CONCORRÊNCIA N°    </t>
  </si>
  <si>
    <t xml:space="preserve">EDITAL DE DE CONCORRÊNCIA N° </t>
  </si>
  <si>
    <t>TOTAL GERAL</t>
  </si>
  <si>
    <t>t/mês</t>
  </si>
  <si>
    <t>DISCRIMINAÇÃO</t>
  </si>
  <si>
    <t>%</t>
  </si>
  <si>
    <t>GRUPO A (básicos)</t>
  </si>
  <si>
    <t xml:space="preserve">   A5 - CUSTO MENSAL</t>
  </si>
  <si>
    <t xml:space="preserve">   A4 - Valor Residual (R$)</t>
  </si>
  <si>
    <t>Chassis</t>
  </si>
  <si>
    <t>caçamba</t>
  </si>
  <si>
    <t>compactador</t>
  </si>
  <si>
    <t xml:space="preserve">   B2 - Alimentação </t>
  </si>
  <si>
    <t>C - VEÍCULO COM CARROCERIA</t>
  </si>
  <si>
    <t>C1 - DEPRECIAÇÃO</t>
  </si>
  <si>
    <t xml:space="preserve">   C1.1 - Preço de Aquisição </t>
  </si>
  <si>
    <t xml:space="preserve">   C1.2 - Vida Útil do Equipamento </t>
  </si>
  <si>
    <t xml:space="preserve">   C1.3 - Valor Residual (Em Percentual)</t>
  </si>
  <si>
    <t xml:space="preserve">C2 - CUSTO DO CAPITAL IMOBILIZADO </t>
  </si>
  <si>
    <t xml:space="preserve">   C2.1 - Custo de Aquisição</t>
  </si>
  <si>
    <t xml:space="preserve">   C2.3 - CUSTO MENSAL COM JUROS</t>
  </si>
  <si>
    <t>C3 - COMBUSTÍVEL</t>
  </si>
  <si>
    <t xml:space="preserve">   C.3.1 - Preço de Um Litro de Gasolina</t>
  </si>
  <si>
    <t xml:space="preserve">   C.3.3 - Número de Km Rodados com Um Litro</t>
  </si>
  <si>
    <t xml:space="preserve">   C.3.4 - CUSTO COM COMBUSTÍVEL MENSAL</t>
  </si>
  <si>
    <t>C4 - PNEUS</t>
  </si>
  <si>
    <t xml:space="preserve">   C.4.1 - Preço de um rodízio de pneus </t>
  </si>
  <si>
    <t xml:space="preserve">   C.4.2 - Kilometros Rodados Com um Rodízio</t>
  </si>
  <si>
    <t xml:space="preserve">   C.4.4 - CUSTO COM PNEUS E CÂMARAS</t>
  </si>
  <si>
    <t>C5 - MANUTENÇÃO</t>
  </si>
  <si>
    <t xml:space="preserve">   C.5.1 - Custo de Manutenção na Vida Útil (Em %)</t>
  </si>
  <si>
    <t xml:space="preserve">   C.5.2 - Custo do Equipamento</t>
  </si>
  <si>
    <t xml:space="preserve">   C.5.3 - Vida Útil do Equipamento (Em Meses)</t>
  </si>
  <si>
    <t xml:space="preserve">   C.5.4 - CUSTO DE MANUTENÇÃO POR MES</t>
  </si>
  <si>
    <t>C6 - CUSTO COM LICENCIAMENTO</t>
  </si>
  <si>
    <t xml:space="preserve">   C.6.1 - SEGURO</t>
  </si>
  <si>
    <t xml:space="preserve">   C.6.2 -  IPVA/Seguro Obrigatório</t>
  </si>
  <si>
    <t xml:space="preserve">   C.6.3 - CUSTO COM LICENCIAMENTO</t>
  </si>
  <si>
    <t>C7 - CUSTO DIRETO MENSAL P/ VEICULO</t>
  </si>
  <si>
    <t>D - MOTOS</t>
  </si>
  <si>
    <t>D1 - DEPRECIAÇÃO</t>
  </si>
  <si>
    <t xml:space="preserve">   D1.1 - Preço de Aquisição </t>
  </si>
  <si>
    <t xml:space="preserve">   D1.2 - Vida Útil do Equipamento </t>
  </si>
  <si>
    <t xml:space="preserve">   D1.3 - Valor Residual (Em Percentual)</t>
  </si>
  <si>
    <t xml:space="preserve">   D1.4 - CUSTO DE PROPRIEDADE MENSAL</t>
  </si>
  <si>
    <t xml:space="preserve">   B1.4 - CUSTO DE PROPRIEDADE MENSAL</t>
  </si>
  <si>
    <t xml:space="preserve">   C1.4 - CUSTO DE PROPRIEDADE MENSAL</t>
  </si>
  <si>
    <t xml:space="preserve">D2 - CUSTO DO CAPITAL IMOBILIZADO </t>
  </si>
  <si>
    <t xml:space="preserve">   D2.1 - Custo de Aquisição</t>
  </si>
  <si>
    <t xml:space="preserve">   D2.3 - CUSTO MENSAL COM JUROS</t>
  </si>
  <si>
    <t>D3 - COMBUSTÍVEL</t>
  </si>
  <si>
    <t xml:space="preserve">   D.3.1 - Preço de Um Litro de Gasolina</t>
  </si>
  <si>
    <t xml:space="preserve">   D.3.3 - Número de Km Rodados com Um Litro</t>
  </si>
  <si>
    <t xml:space="preserve">   D.3.4 - CUSTO COM COMBUSTÍVEL MENSAL</t>
  </si>
  <si>
    <t>D4 - PNEUS</t>
  </si>
  <si>
    <t xml:space="preserve">   D.4.1 - Preço de um rodízio de pneus </t>
  </si>
  <si>
    <t xml:space="preserve">   D.4.2 - Kilometros Rodados Com um Rodízio</t>
  </si>
  <si>
    <t xml:space="preserve">   D.4.4 - CUSTO COM PNEUS E CÂMARAS</t>
  </si>
  <si>
    <t>D5 - MANUTENÇÃO</t>
  </si>
  <si>
    <t xml:space="preserve">   D.5.1 - Custo de Manutenção na Vida Útil (Em %)</t>
  </si>
  <si>
    <t xml:space="preserve">   D.5.2 - Custo do Equipamento</t>
  </si>
  <si>
    <t xml:space="preserve">   D.5.3 - Vida Útil do Equipamento (Em Meses)</t>
  </si>
  <si>
    <t xml:space="preserve">   D.5.4 - CUSTO DE MANUTENÇÃO POR MES</t>
  </si>
  <si>
    <t>D6 - CUSTO COM LICENCIAMENTO</t>
  </si>
  <si>
    <t xml:space="preserve">   D.6.1 - SEGURO</t>
  </si>
  <si>
    <t xml:space="preserve">   D.6.2 -  IPVA/Seguro Obrigatório</t>
  </si>
  <si>
    <t xml:space="preserve">   D.6.3 - CUSTO COM LICENCIAMENTO</t>
  </si>
  <si>
    <t>D7 - CUSTO DIRETO MENSAL P/ VEICULO</t>
  </si>
  <si>
    <t>Poliguindaste</t>
  </si>
  <si>
    <t>Trator</t>
  </si>
  <si>
    <t>Total com poliguindaste</t>
  </si>
  <si>
    <t>Total com trator</t>
  </si>
  <si>
    <t>COMPOSIÇÃO AUXILIAR - CAMINHÃO BASCULANTE 6 M³</t>
  </si>
  <si>
    <t>Facão</t>
  </si>
  <si>
    <t xml:space="preserve">Caçamba basculante para 6 m³ </t>
  </si>
  <si>
    <t xml:space="preserve">TOTAL DE EQUIPAMENTOS </t>
  </si>
  <si>
    <t xml:space="preserve">4.0 - CUSTO EQUPAMENTOS  </t>
  </si>
  <si>
    <t>caminhão e pessoal</t>
  </si>
  <si>
    <t>Caminhão caçamba basculante 6 m3</t>
  </si>
  <si>
    <t>Total com caçamba 6 m3</t>
  </si>
  <si>
    <t>R$/h</t>
  </si>
  <si>
    <t>h</t>
  </si>
  <si>
    <t>8.0  Unidade mensal</t>
  </si>
  <si>
    <t>9.0 Custo/unid</t>
  </si>
  <si>
    <t xml:space="preserve">   A2 - Insalubridade</t>
  </si>
  <si>
    <t xml:space="preserve">   A3 - Adcional noturno</t>
  </si>
  <si>
    <t>D - CUSTO HORÁRIO</t>
  </si>
  <si>
    <t>3.0 - CUSTO VEÍCULOS</t>
  </si>
  <si>
    <t>Caminhão Pipa</t>
  </si>
  <si>
    <t>Custo horário</t>
  </si>
  <si>
    <t>Total do caminhão pipa</t>
  </si>
  <si>
    <t>Valor mensal de um varredor</t>
  </si>
  <si>
    <t>Total mensal com varredor</t>
  </si>
  <si>
    <t>Total mensal com fiscal</t>
  </si>
  <si>
    <t>Valor mensal de um fiscal</t>
  </si>
  <si>
    <t>Triturador de galhos</t>
  </si>
  <si>
    <t>Valor mensal do equipamento</t>
  </si>
  <si>
    <t>Total do equipamento</t>
  </si>
  <si>
    <t>um</t>
  </si>
  <si>
    <t>1 - Varrição de vias urbanas pavimentadas</t>
  </si>
  <si>
    <t>Pintura de meio-fio</t>
  </si>
  <si>
    <t>Valor mensal de um gari</t>
  </si>
  <si>
    <t>Valor mensal de um veículo</t>
  </si>
  <si>
    <t>1. Previdência Social</t>
  </si>
  <si>
    <t>2. FGTS</t>
  </si>
  <si>
    <t>6. INCRA</t>
  </si>
  <si>
    <t>7. Salário-educação</t>
  </si>
  <si>
    <t>8. Seguro contra riscos e acidentes</t>
  </si>
  <si>
    <t>2. Auxílio enfermidade (&lt; 15 dias)</t>
  </si>
  <si>
    <t>2. 13º salário</t>
  </si>
  <si>
    <t>5. Indenização adicional</t>
  </si>
  <si>
    <r>
      <t>COMPOSIÇÃO AUXILIAR - CAMINHÃO COMPACTADOR - 15 m</t>
    </r>
    <r>
      <rPr>
        <b/>
        <vertAlign val="superscript"/>
        <sz val="10"/>
        <color indexed="8"/>
        <rFont val="Calibri"/>
        <family val="2"/>
      </rPr>
      <t>3</t>
    </r>
  </si>
  <si>
    <t>Valor mensal de um agente de capinação</t>
  </si>
  <si>
    <t>Roçadeira</t>
  </si>
  <si>
    <t>Custo direto</t>
  </si>
  <si>
    <t>GRUPO E</t>
  </si>
  <si>
    <t>Capinação e raspagem de vias pavimentadas</t>
  </si>
  <si>
    <t>B - VEÍCULO LEVE</t>
  </si>
  <si>
    <t>B8 - VALOR TOTAL DO ITEM</t>
  </si>
  <si>
    <t>C8 - VALOR TOTAL DO ITEM</t>
  </si>
  <si>
    <t>D8 - VALOR TOTAL DO ITEM</t>
  </si>
  <si>
    <t>COMPOSIÇÃO AUXILIAR - AGENTE DE LIMPEZA DE COLETA</t>
  </si>
  <si>
    <t>COMPOSIÇÃO AUXILIAR - AGENTE DE LIMPEZA VARRIÇÃO, CAPINAÇÃO E SERVIÇOS</t>
  </si>
  <si>
    <t xml:space="preserve">COMPOSIÇÃO AUXILIAR -  GERENTE I </t>
  </si>
  <si>
    <t>COMPOSIÇÃO AUXILIAR - VIGIA</t>
  </si>
  <si>
    <t xml:space="preserve">COMPOSIÇÃO AUXILIAR - ENCARREGADO DE TURMA </t>
  </si>
  <si>
    <t>Encarregado</t>
  </si>
  <si>
    <t>Auxiliar administrativo</t>
  </si>
  <si>
    <t>Vigia</t>
  </si>
  <si>
    <t>CUSTO MENSAL COM MÃO-DE -OBRA</t>
  </si>
  <si>
    <t>COMPOSIÇÃO AUXILIAR - MOTORISTA/OPERADOR</t>
  </si>
  <si>
    <t>COMPOSIÇÃO AUXILIAR - MOTORISTA / OPERADOR (NOTURNO)</t>
  </si>
  <si>
    <t>5.0  CUSTO/ UNIDADE</t>
  </si>
  <si>
    <t>6.0  Unidade mensal</t>
  </si>
  <si>
    <t>7.0 Custo/unid</t>
  </si>
  <si>
    <t xml:space="preserve">   A1 - Salário Mensal do Gerente</t>
  </si>
  <si>
    <t xml:space="preserve">   A1 - Salário Mensal do Vigia</t>
  </si>
  <si>
    <t xml:space="preserve">   C.4.3 - Kilometros Rodados num Mes 60 x 26</t>
  </si>
  <si>
    <t xml:space="preserve">   B1 + B2 + B3 + B4  - CUSTO MENSAL </t>
  </si>
  <si>
    <t xml:space="preserve">   B2 - Alimentação</t>
  </si>
  <si>
    <t xml:space="preserve">          B1.2 - Calçado</t>
  </si>
  <si>
    <r>
      <t>Cálculo do BDI conforme Acórdão do TCU n</t>
    </r>
    <r>
      <rPr>
        <b/>
        <vertAlign val="super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 xml:space="preserve"> 2.369/2011 - Plenário </t>
    </r>
  </si>
  <si>
    <t>Itens</t>
  </si>
  <si>
    <t>Siglas</t>
  </si>
  <si>
    <t>Valores estimados     (%)</t>
  </si>
  <si>
    <t>Taxa de rateio da Administração Central</t>
  </si>
  <si>
    <t>AC</t>
  </si>
  <si>
    <t>Taxa representativa de Seguros</t>
  </si>
  <si>
    <t>S</t>
  </si>
  <si>
    <t>Riscos e imprevistos (**)</t>
  </si>
  <si>
    <t>R</t>
  </si>
  <si>
    <t>Taxa que representa o ônus das garantias exigidas no Edital</t>
  </si>
  <si>
    <t>G</t>
  </si>
  <si>
    <t>Taxa representativa das Despesas Financeiras</t>
  </si>
  <si>
    <t>DF</t>
  </si>
  <si>
    <t>Taxa de Lucro Bruto</t>
  </si>
  <si>
    <t>L</t>
  </si>
  <si>
    <t>Taxa representativa dos impostos (CONFINS, ISS E PIS)</t>
  </si>
  <si>
    <t>I</t>
  </si>
  <si>
    <t>BDI resultante</t>
  </si>
  <si>
    <t>5.0 BDI</t>
  </si>
  <si>
    <t>6.0  CUSTO/ UNIDADE</t>
  </si>
  <si>
    <t>7.0  Unidade mensal</t>
  </si>
  <si>
    <t>8.0 Custo/unid</t>
  </si>
  <si>
    <t>4.0 BDI</t>
  </si>
  <si>
    <t>4. SESC / SESI</t>
  </si>
  <si>
    <t>5. SENAC / SENAI</t>
  </si>
  <si>
    <t>3. SEBRAE</t>
  </si>
  <si>
    <t>1. Férias Gozadas</t>
  </si>
  <si>
    <t>3. Auxíio doença &gt; 15 dias</t>
  </si>
  <si>
    <t>4. Acidente de trabalho</t>
  </si>
  <si>
    <t>5. Auxílio Paternidade</t>
  </si>
  <si>
    <t>6. Faltas legais</t>
  </si>
  <si>
    <t>7. Treinamento NR5</t>
  </si>
  <si>
    <t>GRUPO B - CUSTO DE REPOSIÇÕES</t>
  </si>
  <si>
    <t>GRUPO C - VERBAS INDENIZATÓRIAS</t>
  </si>
  <si>
    <t>1.1/3 DAS Férias Constitucionais</t>
  </si>
  <si>
    <t>3. Aviso Prévio Trabalhado</t>
  </si>
  <si>
    <t>GRUPO D - VERBAS RECISÓRIAS</t>
  </si>
  <si>
    <t>1. Aviso prévio indenizado</t>
  </si>
  <si>
    <t>4. Contribuição Social</t>
  </si>
  <si>
    <t>1. Abono pecuniário</t>
  </si>
  <si>
    <t>2. 1/3 Constitucional do Abono</t>
  </si>
  <si>
    <t xml:space="preserve">GRUPO F </t>
  </si>
  <si>
    <t>2. Incidência de GP. A s/ AP Ind.</t>
  </si>
  <si>
    <t>3. Incidência s/ Salàrio Maternidade</t>
  </si>
  <si>
    <t>5. Incidência do GP s/ GPB e GPC</t>
  </si>
  <si>
    <t>Escavadeira hidráulica</t>
  </si>
  <si>
    <t>Valor mensal de um equipamento</t>
  </si>
  <si>
    <t>Unid.</t>
  </si>
  <si>
    <t>Valor 2013        (R$)</t>
  </si>
  <si>
    <t>Variação percentual           (%)</t>
  </si>
  <si>
    <t>Salário minimo (1)</t>
  </si>
  <si>
    <t>Piso salarial (agentes de coleta, varrição, capinação) (2)</t>
  </si>
  <si>
    <t>Salário encarregado (2)</t>
  </si>
  <si>
    <t>Salário vigia (2)</t>
  </si>
  <si>
    <t>Salário gerente (2)</t>
  </si>
  <si>
    <t>Insalubridade agente de coleta/varrição</t>
  </si>
  <si>
    <t>Insalubridade motorista</t>
  </si>
  <si>
    <t>Encargos sociais</t>
  </si>
  <si>
    <t>Adicional noturno</t>
  </si>
  <si>
    <t>Vale transporte (Agentes de coleta, varrição, capinação</t>
  </si>
  <si>
    <t>Vale transporte (encarregados, auxiliar administrativo)</t>
  </si>
  <si>
    <t>H - CUSTO DIRETO MENSAL DIURNO</t>
  </si>
  <si>
    <t>G - CUSTO DIRETO MENSAL  NOTURNO</t>
  </si>
  <si>
    <t>Administração Local</t>
  </si>
  <si>
    <t>Noturno</t>
  </si>
  <si>
    <t>Diurno</t>
  </si>
  <si>
    <t>equipe</t>
  </si>
  <si>
    <t>R$/equipe</t>
  </si>
  <si>
    <t>Total mensal com agentes de capinação</t>
  </si>
  <si>
    <t>14  - Operação de transbordo e transporte de resíduos ao destino final</t>
  </si>
  <si>
    <t xml:space="preserve">Cavalo mecânico </t>
  </si>
  <si>
    <t>Carreta</t>
  </si>
  <si>
    <t>COMPOSIÇÃO AUXILIAR - CAVALO MECÂNICO</t>
  </si>
  <si>
    <t xml:space="preserve">   A1 - Preço de Aquisição </t>
  </si>
  <si>
    <t>Cargo 4532</t>
  </si>
  <si>
    <t>Semi reboque</t>
  </si>
  <si>
    <t xml:space="preserve">   C1 - Preço de Um Litro de diesel</t>
  </si>
  <si>
    <t xml:space="preserve">   C2 - Kilometros Rodados num Mês (180 x 26)</t>
  </si>
  <si>
    <t xml:space="preserve">   D1 - Preço de um rodízio de pneus (6pneus completos)</t>
  </si>
  <si>
    <t xml:space="preserve">   D3 - Kilometros Rodados num Mes 180 x 26</t>
  </si>
  <si>
    <t xml:space="preserve">   D4 - CUSTO COM PNEUS </t>
  </si>
  <si>
    <t>COMPOSIÇÃO AUXILIAR - CARRETA 50 M3</t>
  </si>
  <si>
    <t xml:space="preserve">   D1 - Preço de um rodízio de pneus (12 pneus completos)</t>
  </si>
  <si>
    <t>Constellation 19330</t>
  </si>
  <si>
    <t xml:space="preserve">   F5 - Lavagem  (26 LAVAGENS A R$ 20,00)</t>
  </si>
  <si>
    <t xml:space="preserve">   C2 - Kilometros Rodados num Mês (90 x 26)</t>
  </si>
  <si>
    <t xml:space="preserve">   D3 - Kilometros Rodados num Mes 90 x 26</t>
  </si>
  <si>
    <t>Salário motorista (2)</t>
  </si>
  <si>
    <t>(3) Preço médio na região</t>
  </si>
  <si>
    <t>Gasolina (3)</t>
  </si>
  <si>
    <t>Óleo Diesel (3)</t>
  </si>
  <si>
    <t>BDI</t>
  </si>
  <si>
    <t>CUSTO/ UNIDADE</t>
  </si>
  <si>
    <t>F - CUSTO TOTAL</t>
  </si>
  <si>
    <t>Unidade mensal</t>
  </si>
  <si>
    <t>Custo/unid</t>
  </si>
  <si>
    <t xml:space="preserve">mês </t>
  </si>
  <si>
    <t>Administração local</t>
  </si>
  <si>
    <t>Agente de coleta</t>
  </si>
  <si>
    <t>Varrição manual de vias urbanas pavimentadas</t>
  </si>
  <si>
    <t xml:space="preserve">   D3 - Kilometros Rodados num Mes </t>
  </si>
  <si>
    <t xml:space="preserve">   D3 - Kilometros Rodados num Mês</t>
  </si>
  <si>
    <t>Adicional de sábados, domingos e feriados</t>
  </si>
  <si>
    <t>Adicional de sábados e feriados</t>
  </si>
  <si>
    <t>Valor mensal de um coletor</t>
  </si>
  <si>
    <t>Total mensal com coletor</t>
  </si>
  <si>
    <t>Valor mensal de um motorista</t>
  </si>
  <si>
    <t>Total mensal com motorista</t>
  </si>
  <si>
    <t>Adicional de sábados</t>
  </si>
  <si>
    <t xml:space="preserve">Adicional de sábados </t>
  </si>
  <si>
    <t>7.0  CUSTO/ UNIDADE</t>
  </si>
  <si>
    <t>6.0 BDI</t>
  </si>
  <si>
    <t>4.0  - SISTEMA DE IDENTIFICAÇÃO, MONITORAMENTO E RASTREAMENTO</t>
  </si>
  <si>
    <t>Lutocar  de 100 l</t>
  </si>
  <si>
    <t>Custo com água mineral (2 litros/funcionário x dia)</t>
  </si>
  <si>
    <t>l/mês</t>
  </si>
  <si>
    <t>Água mineral</t>
  </si>
  <si>
    <t>R$/veículo x mês</t>
  </si>
  <si>
    <t>4.1.1  Aluguel, instalação e manutenção por veículo</t>
  </si>
  <si>
    <t>4.1.2 Aluguel, instalação e manutenção por equipamento</t>
  </si>
  <si>
    <t>4.1 Custo mensal por terminal de monitoramento (incluso 5% de reserva técnica)</t>
  </si>
  <si>
    <t>4.2 Smartphone</t>
  </si>
  <si>
    <t>4.2.1 Aquisição de smartphone</t>
  </si>
  <si>
    <t>4.2.2 Custo mensal com telefonia móvel</t>
  </si>
  <si>
    <t>4.2.3 Vida útil do equipamento</t>
  </si>
  <si>
    <t>4.2.4 Custo mensal por veículo/equipamento</t>
  </si>
  <si>
    <t>R$/equipamento</t>
  </si>
  <si>
    <t>R$/equipamento x mês</t>
  </si>
  <si>
    <t>R$/mês x equipamento</t>
  </si>
  <si>
    <t>4.3 Custo total</t>
  </si>
  <si>
    <t>4.3.1 Veículo</t>
  </si>
  <si>
    <t>4.3.2 Equipamentos (Lutocar)</t>
  </si>
  <si>
    <t>4.3.4 Custo mensal por equipamento</t>
  </si>
  <si>
    <t>4.3.5 Número de smartphone</t>
  </si>
  <si>
    <t xml:space="preserve">TOTAL </t>
  </si>
  <si>
    <t>unidades</t>
  </si>
  <si>
    <t>R$/veiculo x mês</t>
  </si>
  <si>
    <t>4.3.3 Custo mensal com veículos</t>
  </si>
  <si>
    <t>4.3.6 Custo mensal com smartphone</t>
  </si>
  <si>
    <t>R$/smartphone x mês</t>
  </si>
  <si>
    <t>Sistema de identificação, monitoramento e rastreamento</t>
  </si>
  <si>
    <t xml:space="preserve">4.3.2 Equipamentos </t>
  </si>
  <si>
    <t>3.0 - FERRAMENTAS/INSUMOS</t>
  </si>
  <si>
    <t>5.0 RESUMO DOS CUSTOS</t>
  </si>
  <si>
    <t>3.0 - FERRAMENTAS / INSUMOS</t>
  </si>
  <si>
    <t>3.0  - SISTEMA DE IDENTIFICAÇÃO, MONITORAMENTO E RASTREAMENTO</t>
  </si>
  <si>
    <t>3.1 Custo mensal por terminal de monitoramento (incluso 5% de reserva técnica)</t>
  </si>
  <si>
    <t>3.1.1  Aluguel, instalação e manutenção por veículo</t>
  </si>
  <si>
    <t>3.1.2 Aluguel, instalação e manutenção por equipamento</t>
  </si>
  <si>
    <t>3.2 Smartphone</t>
  </si>
  <si>
    <t>3.2.1 Aquisição de smartphone</t>
  </si>
  <si>
    <t>3.2.2 Custo mensal com telefonia móvel</t>
  </si>
  <si>
    <t>3.2.3 Vida útil do equipamento</t>
  </si>
  <si>
    <t>3.2.4 Custo mensal por veículo/equipamento</t>
  </si>
  <si>
    <t>3.3 Custo total</t>
  </si>
  <si>
    <t>3.3.1 Veículo</t>
  </si>
  <si>
    <t xml:space="preserve">3.3.2 Equipamentos </t>
  </si>
  <si>
    <t>3.3.3 Custo mensal com veículos</t>
  </si>
  <si>
    <t>3.3.4 Custo mensal por equipamento</t>
  </si>
  <si>
    <t>3.3.5 Número de smartphone</t>
  </si>
  <si>
    <t>3.3.6 Custo mensal com smartphone</t>
  </si>
  <si>
    <t>2.0 - FERRAMENTAS / INSUMOS</t>
  </si>
  <si>
    <t>Ferramentas /Insumos</t>
  </si>
  <si>
    <t xml:space="preserve">   E1 - Aluguel de Pontos de Apoio (Ponte dos carvalhos e Charneca)</t>
  </si>
  <si>
    <t>Ano</t>
  </si>
  <si>
    <t>Bruto</t>
  </si>
  <si>
    <t>despesas</t>
  </si>
  <si>
    <t>Acumulado</t>
  </si>
  <si>
    <t>Líquido</t>
  </si>
  <si>
    <t xml:space="preserve">   A3 - Periculosidade (Art 193 $4 CLT) (30%)</t>
  </si>
  <si>
    <t xml:space="preserve">   B.4.3 - Kilometros Rodados num Mes 50 x 26</t>
  </si>
  <si>
    <t xml:space="preserve">   D.4.3 - Kilometros Rodados num Mes 70 x 26</t>
  </si>
  <si>
    <t xml:space="preserve">   D.3.2 - Kilometros Rodados num Mes 50 x 26</t>
  </si>
  <si>
    <t>Coleta  de resíduos de podação</t>
  </si>
  <si>
    <t>Caminhão poliguindaste</t>
  </si>
  <si>
    <t>Caçambas estacionárias</t>
  </si>
  <si>
    <t>Valor mensal caçambas estacionárias</t>
  </si>
  <si>
    <t>ano</t>
  </si>
  <si>
    <t>Coleta regular manual de resíduos sólidos domiciliares e comerciais</t>
  </si>
  <si>
    <t xml:space="preserve">PLANILHA RESUMO - SERVIÇOS DE LIMPEZA URBANA  </t>
  </si>
  <si>
    <t xml:space="preserve">   B4 - Coberturas sociais</t>
  </si>
  <si>
    <t xml:space="preserve">   B2 - Taxa de Juros Anual</t>
  </si>
  <si>
    <t>4.0 -  RESUMO DOS CUSTOS</t>
  </si>
  <si>
    <t xml:space="preserve">   G2 - Licenciamento/IPVA/Seguro Obrigatório</t>
  </si>
  <si>
    <t xml:space="preserve">   B.6.2 -  Licenciamento/IPVA/Seguro Obrigatório</t>
  </si>
  <si>
    <t>saveiro robusto com ar condicinado</t>
  </si>
  <si>
    <t xml:space="preserve">   C2.2 - Taxa de Juros Anual</t>
  </si>
  <si>
    <t xml:space="preserve">   D2.2 - Taxa de Juros anual</t>
  </si>
  <si>
    <t>3 - Coleta de resíduos inertes ou volumosos</t>
  </si>
  <si>
    <t>Mobi</t>
  </si>
  <si>
    <t>ISS</t>
  </si>
  <si>
    <t>CONFINS</t>
  </si>
  <si>
    <t>PIS</t>
  </si>
  <si>
    <t xml:space="preserve">   B2 - Alimentação  + cesta básica</t>
  </si>
  <si>
    <t>Pa quadrada</t>
  </si>
  <si>
    <t xml:space="preserve">   E2 - Custo do Equipamento 0 Km</t>
  </si>
  <si>
    <t xml:space="preserve">   E2 - Custo do Equipamento 0Km</t>
  </si>
  <si>
    <t>H  - CUSTO DIRETO MENSAL  NOTURNO</t>
  </si>
  <si>
    <t>2. Complemento AP Trabalhado</t>
  </si>
  <si>
    <t>3. Reflexos13º salário e férias</t>
  </si>
  <si>
    <t>4. Indenização compensatória</t>
  </si>
  <si>
    <t xml:space="preserve">6. Férias Indenizadas </t>
  </si>
  <si>
    <t xml:space="preserve">7. 1/3 Férias Indenizadas </t>
  </si>
  <si>
    <t>1. FGTS s/ Aviso Prévio Indenizado</t>
  </si>
  <si>
    <t>4. Incidência grupo A s/ grupo B + C</t>
  </si>
  <si>
    <t>R$/t</t>
  </si>
  <si>
    <t>2 - Coleta regular,  manual  de resíduos sólidos domiciliares e comerciais - diurno</t>
  </si>
  <si>
    <t>estrutura/ equipe</t>
  </si>
  <si>
    <t xml:space="preserve">E - MANUTENÇÃO </t>
  </si>
  <si>
    <t>Coleta manual ensacada</t>
  </si>
  <si>
    <t>Gerente</t>
  </si>
  <si>
    <t>Caminhão caçamba/ compactador 8 m3</t>
  </si>
  <si>
    <t xml:space="preserve">   C2 - Kilometros Rodados num Mês </t>
  </si>
  <si>
    <t xml:space="preserve">   C2 - Kilometros Rodados num Mês</t>
  </si>
  <si>
    <t>COMPOSIÇÃO AUXILIAR - CAMINHÃO BASCULANTE 12 M³</t>
  </si>
  <si>
    <t>Retroescavadeira</t>
  </si>
  <si>
    <t>8  - Retro escavadeira</t>
  </si>
  <si>
    <t>Componentes</t>
  </si>
  <si>
    <t>Valores</t>
  </si>
  <si>
    <t>DNIT</t>
  </si>
  <si>
    <t>Fabricante</t>
  </si>
  <si>
    <t>Equipamento:</t>
  </si>
  <si>
    <t>Retro escavadeira</t>
  </si>
  <si>
    <t>Potência (P)</t>
  </si>
  <si>
    <t>HP</t>
  </si>
  <si>
    <t>kW</t>
  </si>
  <si>
    <t>Valor de aquisição (Vo)</t>
  </si>
  <si>
    <t>Depreciado para 5 anos</t>
  </si>
  <si>
    <t>Horas trabalhadas previstas</t>
  </si>
  <si>
    <t>mês</t>
  </si>
  <si>
    <t>Valor residual (Vr) em relação ao equipametno novo</t>
  </si>
  <si>
    <t>Tabela DNIT (2008)</t>
  </si>
  <si>
    <t>Vida util adotado</t>
  </si>
  <si>
    <t>Vida útil (VU)</t>
  </si>
  <si>
    <t>horas</t>
  </si>
  <si>
    <t>Vida útil (n)</t>
  </si>
  <si>
    <t>anos</t>
  </si>
  <si>
    <t>Tabela</t>
  </si>
  <si>
    <t>Quantidade de horas estimada de horas / ano (a)</t>
  </si>
  <si>
    <t>h/ano</t>
  </si>
  <si>
    <t xml:space="preserve">Tabela </t>
  </si>
  <si>
    <t>Taxa de juros de mercado (i)</t>
  </si>
  <si>
    <t>% aa</t>
  </si>
  <si>
    <t>SELIC</t>
  </si>
  <si>
    <t>K = coeficiente de manutenção</t>
  </si>
  <si>
    <t>Depreciação (Dh)</t>
  </si>
  <si>
    <t>Investimento médio (Im)</t>
  </si>
  <si>
    <t>Valor</t>
  </si>
  <si>
    <t>Juros de capital de equipamentos de terraplenagem (Jm)</t>
  </si>
  <si>
    <t>hs</t>
  </si>
  <si>
    <t>Custo horário da manutenção</t>
  </si>
  <si>
    <t>Ciclo</t>
  </si>
  <si>
    <t>Consumo horário de combustível (ch)</t>
  </si>
  <si>
    <t>l/h</t>
  </si>
  <si>
    <t>Preço do óleo díesel (p)</t>
  </si>
  <si>
    <t>Custo horário com combustível (C1)</t>
  </si>
  <si>
    <t>Consumo p/ KW lubrificantes, filtros, graxas, em litros de óleo diesel (lh)</t>
  </si>
  <si>
    <t>l/kW</t>
  </si>
  <si>
    <t>Consumo  lubrificantes, filtros, graxas, em litros de óleo diesel (L1)</t>
  </si>
  <si>
    <t>Custo horário com lubrificantes, filtros, graxas, em litros de óleo diesel (L2)</t>
  </si>
  <si>
    <t>Custo com mão de obra (CM)</t>
  </si>
  <si>
    <t>Incluido água mineral para o operador</t>
  </si>
  <si>
    <t>Custo total de hora produtiva</t>
  </si>
  <si>
    <t>Custo total de hora improdutiva</t>
  </si>
  <si>
    <t>Depreciação + Juros + Mão de obra</t>
  </si>
  <si>
    <t>Custo total</t>
  </si>
  <si>
    <t>Preço horário</t>
  </si>
  <si>
    <t>Caminhão caçamba basculante 12 m3</t>
  </si>
  <si>
    <t>Total com caçamba 12 m3</t>
  </si>
  <si>
    <t>Coleta manual de resíduos inertes ou volumosos</t>
  </si>
  <si>
    <t>Coleta mecanizada de resíduos inertes ou volumosos</t>
  </si>
  <si>
    <t>Transporte até o destino final</t>
  </si>
  <si>
    <t>COMPOSIÇÃO AUXILIAR - TRANSPORTE DESTINO FINAL</t>
  </si>
  <si>
    <t>4 - Coleta mecanizada de resíduos inertes ou volumosos</t>
  </si>
  <si>
    <t>5 - Coleta  de resíduos de podação</t>
  </si>
  <si>
    <t>Quadro Resumo - Encargos Sociais do Estado de Pernambuco                                                                           Convenção Coletiva de Trabalho 2022</t>
  </si>
  <si>
    <t>Sacos plásticos 200 litros</t>
  </si>
  <si>
    <t xml:space="preserve">Verba mensal para sacos plásticos 200L </t>
  </si>
  <si>
    <t xml:space="preserve">          B1.5 - Óculos de proteção</t>
  </si>
  <si>
    <t>COMPOSIÇÃO AUXILIAR - AGENTE ADMINISTRATIVO I</t>
  </si>
  <si>
    <t xml:space="preserve">   A1 - Salário Mensal do Agente Administrativo</t>
  </si>
  <si>
    <t>Salário agente administrativo (2)</t>
  </si>
  <si>
    <t>sinapi</t>
  </si>
  <si>
    <r>
      <t>COMPOSIÇÃO AUXILIAR - CAMINHÃO COMPACTADOR - 8 m</t>
    </r>
    <r>
      <rPr>
        <b/>
        <vertAlign val="superscript"/>
        <sz val="10"/>
        <color indexed="8"/>
        <rFont val="Calibri"/>
        <family val="2"/>
      </rPr>
      <t>3</t>
    </r>
  </si>
  <si>
    <t>ARMAZÉM CURSINO</t>
  </si>
  <si>
    <t>ARMAZÉM CORREIA</t>
  </si>
  <si>
    <t>IMPOSTOS</t>
  </si>
  <si>
    <t>ISS (conforme Lei Municipal nº 3.377/2021)</t>
  </si>
  <si>
    <t>COFINS (conforme Lei Federal nº 9.718/1998 e atualizações) para regime tributário Lucro Real</t>
  </si>
  <si>
    <t>PIS (conforme Lei Federal nº9.715/1998 e atualizaçoes) para o regime tributário Lucro Real</t>
  </si>
  <si>
    <t>Coleta Seletiva</t>
  </si>
  <si>
    <t>Equipe de serviços complementares</t>
  </si>
  <si>
    <t>Serviços de infraestrutura</t>
  </si>
  <si>
    <t>Estagiário</t>
  </si>
  <si>
    <t>COMPOSIÇÃO AUXILIAR - ESTAGIÁRIO</t>
  </si>
  <si>
    <t>COMPOSIÇÃO AUXILIAR - CAMINHÃO BAÚ</t>
  </si>
  <si>
    <t>equipe/mês</t>
  </si>
  <si>
    <t>vb</t>
  </si>
  <si>
    <t>8 - Capinação e raspagem  de vias pavimentadas</t>
  </si>
  <si>
    <t>9 - Pintura de meio-fio</t>
  </si>
  <si>
    <t>10  -  Equipe de serviços diversos</t>
  </si>
  <si>
    <t>11 - Transporte até o destino final</t>
  </si>
  <si>
    <t>13 - ADMINISTRAÇÃO LOCAL</t>
  </si>
  <si>
    <t>Caminhão compactador 8 m³</t>
  </si>
  <si>
    <t>Serviços de remediação do aterro (Planilha B)</t>
  </si>
  <si>
    <t>Topografia e monitoramento</t>
  </si>
  <si>
    <t xml:space="preserve">   D1 - Preço de um rodízio de pneus ( 4 pneus completos)</t>
  </si>
  <si>
    <t xml:space="preserve">   B.3.2 - Kilometros Rodados num Mes 50 x 26</t>
  </si>
  <si>
    <t xml:space="preserve">   C.3.2 - Kilometros Rodados num Mes 50 x 26</t>
  </si>
  <si>
    <t xml:space="preserve">   E4 - </t>
  </si>
  <si>
    <t>F -  INSTALAÇÕES</t>
  </si>
  <si>
    <t xml:space="preserve">   F1 - Aluguel de Escritório/Garagem/Alojamentos</t>
  </si>
  <si>
    <t xml:space="preserve">   F2 - Luz/Água/Telefone</t>
  </si>
  <si>
    <t xml:space="preserve">   F3 - Despesas Eventuais/Taxas e Emolumentos</t>
  </si>
  <si>
    <t xml:space="preserve">   F4 - CUSTO MENSAL COM INSTALAÇÕES</t>
  </si>
  <si>
    <t>E - VAN - 17 LUGARES - PARA TRANSPORTE DE PESSOAL</t>
  </si>
  <si>
    <t>COMPOSIÇÃO AUXILIAR - VAN - 17 LUGARES</t>
  </si>
  <si>
    <t>DUCATO EXECUTIVE</t>
  </si>
  <si>
    <t xml:space="preserve">   E.1 - Custo da Van - 17 lugares</t>
  </si>
  <si>
    <t xml:space="preserve">   E.2 - Custo reboque para ferramentas</t>
  </si>
  <si>
    <t>E4 - CUSTO DIRETO MENSAL P/ VEICULO</t>
  </si>
  <si>
    <t xml:space="preserve">   E.3 - Motorista</t>
  </si>
  <si>
    <t>E5 - VALOR TOTAL DO ITEM</t>
  </si>
  <si>
    <t>COMPOSIÇÃO AUXILIAR - CARRETA REBOQUE 1 EIXO</t>
  </si>
  <si>
    <t xml:space="preserve">   D1 - Preço de um rodízio de pneus (2 pneus completos)</t>
  </si>
  <si>
    <t xml:space="preserve">   C2 - Kilometros Rodados num Mês (50 x 26)</t>
  </si>
  <si>
    <t xml:space="preserve">   D3 - Kilometros Rodados num Mes 50 x 26</t>
  </si>
  <si>
    <t>Caminhão compactador 15 m³ (RESERVA)</t>
  </si>
  <si>
    <t>Caminhão compactador 8 m3</t>
  </si>
  <si>
    <t>Caminhão  compactador 8 m3 (RESERVA)</t>
  </si>
  <si>
    <t>PREÇO UNITÁRIO S/ BDI</t>
  </si>
  <si>
    <t>BDI                          (%)</t>
  </si>
  <si>
    <t>PREÇO UNITÁRIO C/ BDI</t>
  </si>
  <si>
    <t xml:space="preserve">     </t>
  </si>
  <si>
    <t>6  -  Coleta ensacada</t>
  </si>
  <si>
    <t>7 - Coleta Seletiva</t>
  </si>
  <si>
    <t>VALOR MENSAL S/ BDI</t>
  </si>
  <si>
    <t>VALOR MENSAL C/ BDI</t>
  </si>
  <si>
    <t>MÊS</t>
  </si>
  <si>
    <t>TOTAL ANUAL</t>
  </si>
  <si>
    <t>CRONOGRAMA FÍSICO E FINANCEIRO</t>
  </si>
  <si>
    <t>Valor 2025               (R$)</t>
  </si>
  <si>
    <t>Valor 2025                        (R$)</t>
  </si>
  <si>
    <t>Salário Jardineiro</t>
  </si>
  <si>
    <t>Salário auxiliar administrativo (2)</t>
  </si>
  <si>
    <t>Salário técnico de segurança do trabalho</t>
  </si>
  <si>
    <t>Salário do estagiário</t>
  </si>
  <si>
    <t>Coberturas sociais</t>
  </si>
  <si>
    <t>Auxílio alimentação (Agentes de coleta, varrição, capinação, auxiliar administrativo, vigia) (2)</t>
  </si>
  <si>
    <t>Auxílio alimentação (motorista, encarrregado, gerente) (2)</t>
  </si>
  <si>
    <t>(1) Salário mínimo 2025</t>
  </si>
  <si>
    <t>(2) Piso salarial e reajustes conforme Convenção Coletiva 2025</t>
  </si>
  <si>
    <t>DELIVERY 9180</t>
  </si>
  <si>
    <t>CONSTELLATION 17210</t>
  </si>
  <si>
    <t xml:space="preserve">Chassis </t>
  </si>
  <si>
    <t>contellation 26260</t>
  </si>
  <si>
    <t>14210 CONST</t>
  </si>
  <si>
    <t>18-260 const</t>
  </si>
  <si>
    <t>ARMAZEM ARAÚJO</t>
  </si>
  <si>
    <t>PALMAS</t>
  </si>
  <si>
    <t>ISAÍAS PLACAS</t>
  </si>
  <si>
    <t>ANA PAULA</t>
  </si>
  <si>
    <t>LOJA DO TRABALHADOR</t>
  </si>
  <si>
    <t>TUPAN</t>
  </si>
  <si>
    <t>KALUNGA</t>
  </si>
  <si>
    <t>CONTEMAR</t>
  </si>
  <si>
    <t>FERRREIRA COSTA</t>
  </si>
  <si>
    <t>FRANÇA VIEIRA</t>
  </si>
  <si>
    <t>SUPER EPI</t>
  </si>
  <si>
    <t>LOJA DO MECÂNICO</t>
  </si>
  <si>
    <t>PREÇO UNITÁRIO MÉDIO</t>
  </si>
  <si>
    <t>VIDA ÚTIL (MESES)</t>
  </si>
  <si>
    <t>NÚMERO DE CONJUNTOS</t>
  </si>
  <si>
    <t>PREÇO MENSAL (R$/mês)</t>
  </si>
  <si>
    <t xml:space="preserve">Carro de mão </t>
  </si>
  <si>
    <t>Roçadeira Sthil FS220</t>
  </si>
  <si>
    <t>Oculos de Proteção</t>
  </si>
  <si>
    <t>Motoserra Sthil MS250 (3.1 CV)</t>
  </si>
  <si>
    <t>Motoserra Sthil MS382 (5.3 CV)</t>
  </si>
  <si>
    <t>Motopoda Sthil HT-135 (1.9 CV)</t>
  </si>
  <si>
    <t>Lima de Facão (Starret ou K&amp;F)</t>
  </si>
  <si>
    <t>Marreta 2kg</t>
  </si>
  <si>
    <t>Corda de 50m/equipe</t>
  </si>
  <si>
    <t>Escada Extensora de 9,6m/a cada 3 equipes</t>
  </si>
  <si>
    <t>Caixa de verdura (Galeia)/por equipe</t>
  </si>
  <si>
    <t>Vassoura leque (rastelo)</t>
  </si>
  <si>
    <t>Facão 16”</t>
  </si>
  <si>
    <t>Baldo de Ferro 10L</t>
  </si>
  <si>
    <t xml:space="preserve">Sacho coração </t>
  </si>
  <si>
    <t>Tela para roço 1,5m  (rolo de 50m)</t>
  </si>
  <si>
    <t xml:space="preserve">Tesoura cerca viva </t>
  </si>
  <si>
    <t>Tesourão poda cerca viva  cod.78362505 (cabo ferro)</t>
  </si>
  <si>
    <t xml:space="preserve">Vasilhame de 5L </t>
  </si>
  <si>
    <t>Bombona de 50L</t>
  </si>
  <si>
    <t>Cinto Paraquedista de 5 Pontas</t>
  </si>
  <si>
    <t>Talabart de posicionamento</t>
  </si>
  <si>
    <t>Capacete Alpinista</t>
  </si>
  <si>
    <t>Capacete de Proteção</t>
  </si>
  <si>
    <t>Abafador tipo concha</t>
  </si>
  <si>
    <t>Perneira de Couro</t>
  </si>
  <si>
    <t>Bota com biqueira de PVC</t>
  </si>
  <si>
    <t>Água de reúso /m3</t>
  </si>
  <si>
    <t>Detergente</t>
  </si>
  <si>
    <t>MAQ                          CENTER</t>
  </si>
  <si>
    <t>INSUMO</t>
  </si>
  <si>
    <t>EQUIPAMENTO</t>
  </si>
  <si>
    <t>DELIVERY 13180</t>
  </si>
  <si>
    <t>CONSTELLATION 14210</t>
  </si>
  <si>
    <t>CONSTELLATION 18260</t>
  </si>
  <si>
    <t>CONSTELLATION 26260</t>
  </si>
  <si>
    <t>COMPACTADOR 8M3</t>
  </si>
  <si>
    <t>COMPACTADOR 15 M3</t>
  </si>
  <si>
    <t>TQ DE ÓLEO MOTOR (l)</t>
  </si>
  <si>
    <t>TIPO DE ÓLEO</t>
  </si>
  <si>
    <t>SINTÉTICO 10W40 E4</t>
  </si>
  <si>
    <t>PREÇO (R$/20L)</t>
  </si>
  <si>
    <t>VALOR/LITRO (R$/l)</t>
  </si>
  <si>
    <t>TROCA  (20.000 Km)</t>
  </si>
  <si>
    <t>CUSTO/KM</t>
  </si>
  <si>
    <t>FILTRO ÓLEO/ COMBUSTÍVEL</t>
  </si>
  <si>
    <t>TQ DE ÓLEO DE CAMBIO (l)</t>
  </si>
  <si>
    <t>SINTÉTICO 75W80</t>
  </si>
  <si>
    <t>PREÇO (R$/L)</t>
  </si>
  <si>
    <t>TROCA  (40.000 Km)</t>
  </si>
  <si>
    <t>TQ DE ÓLEO DE DIFERENCIAL (l)</t>
  </si>
  <si>
    <t>SAE 85W140</t>
  </si>
  <si>
    <t>PREÇO (R$/l)</t>
  </si>
  <si>
    <t>TQ DE ARLA (l)</t>
  </si>
  <si>
    <t xml:space="preserve">TIPO </t>
  </si>
  <si>
    <t>ARLA 32</t>
  </si>
  <si>
    <t>PREÇO (R$/20l)</t>
  </si>
  <si>
    <t>CUSTO/Km</t>
  </si>
  <si>
    <t>TQ COMBUSTÍVEL (l)</t>
  </si>
  <si>
    <t>TQ FLUIDO HIDRÁULICO (l)</t>
  </si>
  <si>
    <t>VOLUME DO SISTEMA (l)</t>
  </si>
  <si>
    <t>ÓLEO  AW 68</t>
  </si>
  <si>
    <t>TROCA (h)</t>
  </si>
  <si>
    <t>CUSTO/h</t>
  </si>
  <si>
    <t>aula_frete.pdf (unesp.br)</t>
  </si>
  <si>
    <t>https://pessoas.feb.unesp.br/barbara/files/2013/08/aula_frete.pdf</t>
  </si>
  <si>
    <t>DUCATO EXECUTIVE 17L</t>
  </si>
  <si>
    <t xml:space="preserve">SINTÉTICO 15W40 </t>
  </si>
  <si>
    <t xml:space="preserve">   F2 - Óleo de cambio e diferencial</t>
  </si>
  <si>
    <t xml:space="preserve">   F3 - Fluído Hidraúlico (8 x 26,08)</t>
  </si>
  <si>
    <t xml:space="preserve">   F4 - Graxa (0,00150 kg/km)</t>
  </si>
  <si>
    <t xml:space="preserve">   F5 - ARLA 32</t>
  </si>
  <si>
    <t xml:space="preserve">   F6 - Lavagem (15 lavagens/mês)</t>
  </si>
  <si>
    <t xml:space="preserve">   F7 - Filtros ( 3 % do Valor Total de combustivel )</t>
  </si>
  <si>
    <t xml:space="preserve">   F8 - CUSTO C/ LAVAGEM E LUBRIFICAÇÃO MENSAL</t>
  </si>
  <si>
    <t xml:space="preserve">   F3 - Fluído Hidraúlico (8 x 26,08)/2</t>
  </si>
  <si>
    <t>12.1</t>
  </si>
  <si>
    <t>12.2</t>
  </si>
  <si>
    <t>12.3</t>
  </si>
  <si>
    <t>12.4</t>
  </si>
  <si>
    <t>SINAPI - 02/2025</t>
  </si>
  <si>
    <t>3.1</t>
  </si>
  <si>
    <t>3.2</t>
  </si>
  <si>
    <t>11.1</t>
  </si>
  <si>
    <t>11.2</t>
  </si>
  <si>
    <t>11.3</t>
  </si>
  <si>
    <t>11.4</t>
  </si>
  <si>
    <t>Valor Total (24 meses)</t>
  </si>
  <si>
    <t>Valor Total (12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</si>
</sst>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.000"/>
    <numFmt numFmtId="167" formatCode="#,##0.0000"/>
    <numFmt numFmtId="168" formatCode="_-* #,##0.00000_-;\-* #,##0.00000_-;_-* &quot;-&quot;??_-;_-@_-"/>
    <numFmt numFmtId="169" formatCode="_-* #,##0.000_-;\-* #,##0.000_-;_-* &quot;-&quot;??_-;_-@_-"/>
    <numFmt numFmtId="170" formatCode="_-* #,##0.000_-;\-* #,##0.000_-;_-* &quot;-&quot;???_-;_-@_-"/>
    <numFmt numFmtId="171" formatCode="0.0000"/>
    <numFmt numFmtId="172" formatCode="#,##0.00000"/>
  </numFmts>
  <fonts count="33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vertAlign val="superscript"/>
      <sz val="10"/>
      <color indexed="8"/>
      <name val="Calibri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Verdana"/>
      <family val="2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Times New Roman"/>
      <family val="1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theme="4" tint="0.3999450666829432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0" fontId="2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</cellStyleXfs>
  <cellXfs count="37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0" fillId="0" borderId="0" xfId="0" applyNumberFormat="1" applyFont="1"/>
    <xf numFmtId="4" fontId="9" fillId="0" borderId="0" xfId="0" quotePrefix="1" applyNumberFormat="1" applyFont="1" applyAlignment="1">
      <alignment horizontal="left"/>
    </xf>
    <xf numFmtId="4" fontId="9" fillId="0" borderId="0" xfId="0" applyNumberFormat="1" applyFont="1"/>
    <xf numFmtId="0" fontId="12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4" fontId="4" fillId="0" borderId="0" xfId="2" applyFont="1"/>
    <xf numFmtId="0" fontId="4" fillId="0" borderId="0" xfId="0" applyFont="1" applyAlignment="1">
      <alignment horizontal="left"/>
    </xf>
    <xf numFmtId="4" fontId="4" fillId="0" borderId="0" xfId="1" applyNumberFormat="1" applyFont="1"/>
    <xf numFmtId="164" fontId="4" fillId="0" borderId="0" xfId="0" applyNumberFormat="1" applyFont="1"/>
    <xf numFmtId="0" fontId="13" fillId="2" borderId="0" xfId="0" quotePrefix="1" applyFont="1" applyFill="1" applyAlignment="1">
      <alignment horizontal="left"/>
    </xf>
    <xf numFmtId="164" fontId="13" fillId="2" borderId="0" xfId="0" applyNumberFormat="1" applyFont="1" applyFill="1"/>
    <xf numFmtId="0" fontId="12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/>
    <xf numFmtId="4" fontId="4" fillId="0" borderId="0" xfId="2" applyNumberFormat="1" applyFont="1" applyAlignment="1">
      <alignment horizontal="right"/>
    </xf>
    <xf numFmtId="4" fontId="9" fillId="2" borderId="0" xfId="0" applyNumberFormat="1" applyFont="1" applyFill="1"/>
    <xf numFmtId="0" fontId="14" fillId="0" borderId="0" xfId="0" quotePrefix="1" applyFont="1" applyAlignment="1">
      <alignment horizontal="left"/>
    </xf>
    <xf numFmtId="164" fontId="14" fillId="0" borderId="0" xfId="0" applyNumberFormat="1" applyFont="1"/>
    <xf numFmtId="0" fontId="12" fillId="0" borderId="0" xfId="0" applyFont="1"/>
    <xf numFmtId="164" fontId="4" fillId="0" borderId="0" xfId="2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4" fontId="9" fillId="0" borderId="0" xfId="0" quotePrefix="1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4" fillId="0" borderId="0" xfId="2" applyFont="1" applyAlignment="1">
      <alignment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43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9" fontId="4" fillId="0" borderId="0" xfId="1" applyFont="1" applyAlignment="1">
      <alignment vertical="center"/>
    </xf>
    <xf numFmtId="4" fontId="10" fillId="0" borderId="0" xfId="0" quotePrefix="1" applyNumberFormat="1" applyFont="1" applyAlignment="1">
      <alignment horizontal="left" vertical="center"/>
    </xf>
    <xf numFmtId="10" fontId="10" fillId="0" borderId="0" xfId="1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quotePrefix="1" applyFont="1" applyFill="1" applyAlignment="1">
      <alignment horizontal="left" vertical="center"/>
    </xf>
    <xf numFmtId="16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4" fontId="4" fillId="0" borderId="0" xfId="0" applyNumberFormat="1" applyFont="1"/>
    <xf numFmtId="9" fontId="4" fillId="0" borderId="0" xfId="1" applyFont="1"/>
    <xf numFmtId="4" fontId="10" fillId="0" borderId="0" xfId="0" quotePrefix="1" applyNumberFormat="1" applyFont="1" applyAlignment="1">
      <alignment horizontal="left"/>
    </xf>
    <xf numFmtId="165" fontId="10" fillId="0" borderId="0" xfId="1" applyNumberFormat="1" applyFont="1"/>
    <xf numFmtId="0" fontId="12" fillId="0" borderId="0" xfId="0" applyFont="1" applyAlignment="1">
      <alignment horizontal="left"/>
    </xf>
    <xf numFmtId="164" fontId="14" fillId="0" borderId="0" xfId="2" applyFont="1"/>
    <xf numFmtId="4" fontId="4" fillId="0" borderId="0" xfId="0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43" fontId="4" fillId="0" borderId="0" xfId="0" applyNumberFormat="1" applyFont="1"/>
    <xf numFmtId="0" fontId="11" fillId="0" borderId="0" xfId="0" applyFont="1"/>
    <xf numFmtId="4" fontId="9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left"/>
    </xf>
    <xf numFmtId="4" fontId="15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5" fillId="0" borderId="0" xfId="0" quotePrefix="1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4" fontId="15" fillId="0" borderId="0" xfId="0" applyNumberFormat="1" applyFont="1"/>
    <xf numFmtId="166" fontId="10" fillId="0" borderId="0" xfId="0" applyNumberFormat="1" applyFont="1"/>
    <xf numFmtId="4" fontId="11" fillId="0" borderId="0" xfId="0" applyNumberFormat="1" applyFont="1"/>
    <xf numFmtId="4" fontId="11" fillId="2" borderId="0" xfId="0" applyNumberFormat="1" applyFont="1" applyFill="1" applyAlignment="1">
      <alignment horizontal="left"/>
    </xf>
    <xf numFmtId="4" fontId="11" fillId="2" borderId="0" xfId="0" applyNumberFormat="1" applyFont="1" applyFill="1"/>
    <xf numFmtId="10" fontId="12" fillId="0" borderId="0" xfId="0" applyNumberFormat="1" applyFont="1"/>
    <xf numFmtId="4" fontId="9" fillId="2" borderId="0" xfId="0" quotePrefix="1" applyNumberFormat="1" applyFont="1" applyFill="1" applyAlignment="1">
      <alignment horizontal="left"/>
    </xf>
    <xf numFmtId="4" fontId="9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11" fillId="0" borderId="0" xfId="0" quotePrefix="1" applyNumberFormat="1" applyFont="1" applyAlignment="1">
      <alignment horizontal="left"/>
    </xf>
    <xf numFmtId="0" fontId="10" fillId="0" borderId="0" xfId="0" quotePrefix="1" applyFont="1" applyAlignment="1">
      <alignment horizontal="left"/>
    </xf>
    <xf numFmtId="164" fontId="10" fillId="0" borderId="0" xfId="0" applyNumberFormat="1" applyFont="1"/>
    <xf numFmtId="4" fontId="4" fillId="0" borderId="0" xfId="0" applyNumberFormat="1" applyFont="1" applyAlignment="1">
      <alignment horizontal="center"/>
    </xf>
    <xf numFmtId="4" fontId="10" fillId="0" borderId="0" xfId="0" quotePrefix="1" applyNumberFormat="1" applyFont="1"/>
    <xf numFmtId="0" fontId="4" fillId="0" borderId="0" xfId="0" applyFont="1" applyAlignment="1">
      <alignment horizontal="center"/>
    </xf>
    <xf numFmtId="4" fontId="9" fillId="2" borderId="0" xfId="0" applyNumberFormat="1" applyFont="1" applyFill="1" applyAlignment="1">
      <alignment horizontal="left"/>
    </xf>
    <xf numFmtId="0" fontId="12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left" vertical="center"/>
    </xf>
    <xf numFmtId="4" fontId="9" fillId="2" borderId="0" xfId="0" applyNumberFormat="1" applyFont="1" applyFill="1" applyAlignment="1">
      <alignment vertical="center"/>
    </xf>
    <xf numFmtId="4" fontId="15" fillId="0" borderId="0" xfId="0" quotePrefix="1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horizontal="left" vertical="center"/>
    </xf>
    <xf numFmtId="4" fontId="9" fillId="2" borderId="0" xfId="0" quotePrefix="1" applyNumberFormat="1" applyFont="1" applyFill="1" applyAlignment="1">
      <alignment horizontal="left" vertical="center"/>
    </xf>
    <xf numFmtId="4" fontId="11" fillId="2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" fontId="4" fillId="0" borderId="0" xfId="2" applyNumberFormat="1" applyFont="1" applyAlignment="1">
      <alignment vertical="center"/>
    </xf>
    <xf numFmtId="0" fontId="4" fillId="0" borderId="0" xfId="0" quotePrefix="1" applyFont="1" applyAlignment="1">
      <alignment vertical="center"/>
    </xf>
    <xf numFmtId="0" fontId="12" fillId="0" borderId="0" xfId="0" quotePrefix="1" applyFont="1" applyAlignment="1">
      <alignment vertical="center"/>
    </xf>
    <xf numFmtId="164" fontId="12" fillId="0" borderId="0" xfId="2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9" fillId="3" borderId="0" xfId="0" applyNumberFormat="1" applyFont="1" applyFill="1"/>
    <xf numFmtId="4" fontId="9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right"/>
    </xf>
    <xf numFmtId="4" fontId="10" fillId="3" borderId="0" xfId="0" applyNumberFormat="1" applyFont="1" applyFill="1"/>
    <xf numFmtId="168" fontId="10" fillId="0" borderId="0" xfId="0" applyNumberFormat="1" applyFont="1"/>
    <xf numFmtId="0" fontId="7" fillId="0" borderId="0" xfId="0" applyFont="1" applyAlignment="1">
      <alignment horizontal="right" vertical="center"/>
    </xf>
    <xf numFmtId="167" fontId="4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4" fontId="10" fillId="0" borderId="0" xfId="0" quotePrefix="1" applyNumberFormat="1" applyFont="1" applyAlignment="1">
      <alignment horizontal="right" vertical="center"/>
    </xf>
    <xf numFmtId="4" fontId="9" fillId="2" borderId="0" xfId="0" applyNumberFormat="1" applyFont="1" applyFill="1" applyAlignment="1">
      <alignment horizontal="right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167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7" fontId="12" fillId="0" borderId="0" xfId="0" applyNumberFormat="1" applyFont="1" applyAlignment="1">
      <alignment vertical="center"/>
    </xf>
    <xf numFmtId="4" fontId="11" fillId="2" borderId="0" xfId="0" applyNumberFormat="1" applyFont="1" applyFill="1" applyAlignment="1">
      <alignment horizontal="left" vertical="center"/>
    </xf>
    <xf numFmtId="10" fontId="9" fillId="2" borderId="0" xfId="1" applyNumberFormat="1" applyFont="1" applyFill="1" applyAlignment="1">
      <alignment vertical="center"/>
    </xf>
    <xf numFmtId="10" fontId="12" fillId="0" borderId="0" xfId="0" applyNumberFormat="1" applyFont="1" applyAlignment="1">
      <alignment vertical="center"/>
    </xf>
    <xf numFmtId="167" fontId="10" fillId="0" borderId="0" xfId="0" applyNumberFormat="1" applyFont="1" applyAlignment="1">
      <alignment vertical="center"/>
    </xf>
    <xf numFmtId="169" fontId="4" fillId="0" borderId="0" xfId="0" applyNumberFormat="1" applyFont="1" applyAlignment="1">
      <alignment vertical="center"/>
    </xf>
    <xf numFmtId="169" fontId="12" fillId="0" borderId="0" xfId="0" applyNumberFormat="1" applyFont="1" applyAlignment="1">
      <alignment vertical="center"/>
    </xf>
    <xf numFmtId="0" fontId="17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/>
    </xf>
    <xf numFmtId="4" fontId="19" fillId="3" borderId="0" xfId="0" applyNumberFormat="1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7" fontId="19" fillId="0" borderId="0" xfId="0" applyNumberFormat="1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vertical="center"/>
    </xf>
    <xf numFmtId="10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10" fontId="10" fillId="0" borderId="0" xfId="0" applyNumberFormat="1" applyFont="1"/>
    <xf numFmtId="4" fontId="13" fillId="2" borderId="0" xfId="0" quotePrefix="1" applyNumberFormat="1" applyFont="1" applyFill="1" applyAlignment="1">
      <alignment horizontal="right"/>
    </xf>
    <xf numFmtId="0" fontId="21" fillId="0" borderId="0" xfId="0" applyFont="1" applyAlignment="1">
      <alignment horizontal="left"/>
    </xf>
    <xf numFmtId="4" fontId="22" fillId="0" borderId="0" xfId="0" applyNumberFormat="1" applyFont="1"/>
    <xf numFmtId="0" fontId="13" fillId="0" borderId="0" xfId="0" quotePrefix="1" applyFont="1" applyAlignment="1">
      <alignment horizontal="left" vertical="center"/>
    </xf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9" fillId="2" borderId="0" xfId="0" quotePrefix="1" applyNumberFormat="1" applyFont="1" applyFill="1" applyAlignment="1">
      <alignment horizontal="right" vertical="center"/>
    </xf>
    <xf numFmtId="0" fontId="13" fillId="0" borderId="0" xfId="0" quotePrefix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4" fontId="0" fillId="0" borderId="0" xfId="0" applyNumberFormat="1"/>
    <xf numFmtId="2" fontId="4" fillId="0" borderId="0" xfId="0" applyNumberFormat="1" applyFont="1"/>
    <xf numFmtId="10" fontId="10" fillId="0" borderId="0" xfId="1" applyNumberFormat="1" applyFont="1"/>
    <xf numFmtId="0" fontId="20" fillId="3" borderId="1" xfId="0" applyFont="1" applyFill="1" applyBorder="1" applyAlignment="1">
      <alignment horizontal="center" vertical="center" wrapText="1"/>
    </xf>
    <xf numFmtId="167" fontId="19" fillId="0" borderId="0" xfId="0" applyNumberFormat="1" applyFont="1" applyAlignment="1">
      <alignment horizontal="center" vertical="center" wrapText="1"/>
    </xf>
    <xf numFmtId="171" fontId="19" fillId="0" borderId="0" xfId="0" applyNumberFormat="1" applyFont="1" applyAlignment="1">
      <alignment vertical="center"/>
    </xf>
    <xf numFmtId="172" fontId="4" fillId="0" borderId="0" xfId="0" applyNumberFormat="1" applyFont="1"/>
    <xf numFmtId="10" fontId="4" fillId="0" borderId="0" xfId="1" applyNumberFormat="1" applyFont="1" applyAlignment="1">
      <alignment vertical="center"/>
    </xf>
    <xf numFmtId="1" fontId="2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4" fontId="9" fillId="2" borderId="0" xfId="6" applyNumberFormat="1" applyFont="1" applyFill="1"/>
    <xf numFmtId="0" fontId="4" fillId="0" borderId="0" xfId="0" applyFont="1" applyAlignment="1" applyProtection="1">
      <alignment horizontal="justify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4" fontId="4" fillId="0" borderId="0" xfId="0" applyNumberFormat="1" applyFont="1" applyAlignment="1">
      <alignment vertical="center" wrapText="1"/>
    </xf>
    <xf numFmtId="167" fontId="4" fillId="0" borderId="0" xfId="0" applyNumberFormat="1" applyFont="1" applyAlignment="1">
      <alignment vertical="center" wrapText="1"/>
    </xf>
    <xf numFmtId="37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12" fillId="0" borderId="1" xfId="2" applyNumberFormat="1" applyFont="1" applyFill="1" applyBorder="1" applyAlignment="1">
      <alignment horizontal="right" vertical="center" wrapText="1"/>
    </xf>
    <xf numFmtId="170" fontId="4" fillId="0" borderId="0" xfId="0" applyNumberFormat="1" applyFont="1" applyAlignment="1">
      <alignment vertical="center"/>
    </xf>
    <xf numFmtId="0" fontId="12" fillId="0" borderId="0" xfId="0" applyFont="1" applyAlignment="1">
      <alignment horizontal="justify" vertical="center"/>
    </xf>
    <xf numFmtId="4" fontId="2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vertical="center"/>
    </xf>
    <xf numFmtId="2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2" fontId="19" fillId="0" borderId="1" xfId="0" applyNumberFormat="1" applyFont="1" applyBorder="1" applyAlignment="1">
      <alignment vertical="center"/>
    </xf>
    <xf numFmtId="2" fontId="19" fillId="0" borderId="0" xfId="0" applyNumberFormat="1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1" fontId="19" fillId="0" borderId="1" xfId="0" applyNumberFormat="1" applyFont="1" applyBorder="1" applyAlignment="1">
      <alignment vertical="center"/>
    </xf>
    <xf numFmtId="2" fontId="19" fillId="0" borderId="5" xfId="0" applyNumberFormat="1" applyFont="1" applyBorder="1" applyAlignment="1">
      <alignment vertical="center"/>
    </xf>
    <xf numFmtId="2" fontId="19" fillId="0" borderId="1" xfId="0" applyNumberFormat="1" applyFont="1" applyBorder="1" applyAlignment="1">
      <alignment vertical="center" wrapText="1"/>
    </xf>
    <xf numFmtId="2" fontId="20" fillId="0" borderId="0" xfId="0" applyNumberFormat="1" applyFont="1" applyAlignment="1">
      <alignment vertical="center"/>
    </xf>
    <xf numFmtId="2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2" fontId="20" fillId="0" borderId="1" xfId="0" applyNumberFormat="1" applyFont="1" applyBorder="1" applyAlignment="1">
      <alignment vertical="center" wrapText="1"/>
    </xf>
    <xf numFmtId="167" fontId="19" fillId="0" borderId="1" xfId="0" applyNumberFormat="1" applyFont="1" applyBorder="1" applyAlignment="1">
      <alignment vertical="center"/>
    </xf>
    <xf numFmtId="10" fontId="20" fillId="0" borderId="1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172" fontId="20" fillId="0" borderId="0" xfId="0" applyNumberFormat="1" applyFont="1" applyAlignment="1">
      <alignment horizontal="center" vertical="center"/>
    </xf>
    <xf numFmtId="172" fontId="19" fillId="0" borderId="0" xfId="0" applyNumberFormat="1" applyFont="1" applyAlignment="1">
      <alignment vertical="center"/>
    </xf>
    <xf numFmtId="166" fontId="19" fillId="0" borderId="1" xfId="0" applyNumberFormat="1" applyFont="1" applyBorder="1" applyAlignment="1">
      <alignment vertical="center"/>
    </xf>
    <xf numFmtId="4" fontId="4" fillId="0" borderId="0" xfId="2" applyNumberFormat="1" applyFont="1"/>
    <xf numFmtId="0" fontId="19" fillId="3" borderId="3" xfId="0" applyFont="1" applyFill="1" applyBorder="1" applyAlignment="1">
      <alignment vertical="center" wrapText="1"/>
    </xf>
    <xf numFmtId="167" fontId="20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right"/>
    </xf>
    <xf numFmtId="0" fontId="2" fillId="0" borderId="0" xfId="0" applyFont="1"/>
    <xf numFmtId="4" fontId="12" fillId="0" borderId="1" xfId="0" quotePrefix="1" applyNumberFormat="1" applyFont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right" vertical="center" wrapText="1"/>
    </xf>
    <xf numFmtId="4" fontId="4" fillId="0" borderId="1" xfId="2" applyNumberFormat="1" applyFont="1" applyBorder="1" applyAlignment="1">
      <alignment horizontal="right" vertical="center" wrapText="1"/>
    </xf>
    <xf numFmtId="4" fontId="12" fillId="0" borderId="1" xfId="2" applyNumberFormat="1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1" xfId="1" applyNumberFormat="1" applyFont="1" applyFill="1" applyBorder="1" applyAlignment="1">
      <alignment vertical="center" wrapText="1"/>
    </xf>
    <xf numFmtId="4" fontId="23" fillId="0" borderId="0" xfId="0" applyNumberFormat="1" applyFont="1" applyAlignment="1">
      <alignment vertical="center"/>
    </xf>
    <xf numFmtId="4" fontId="24" fillId="0" borderId="1" xfId="0" applyNumberFormat="1" applyFont="1" applyBorder="1" applyAlignment="1">
      <alignment horizontal="right" vertical="center" shrinkToFit="1"/>
    </xf>
    <xf numFmtId="4" fontId="4" fillId="0" borderId="1" xfId="2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" fontId="25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right" vertical="center" wrapText="1"/>
    </xf>
    <xf numFmtId="10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37" fontId="6" fillId="0" borderId="1" xfId="2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2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0" applyNumberFormat="1" applyFont="1" applyAlignment="1">
      <alignment horizontal="left" vertical="center" wrapText="1"/>
    </xf>
    <xf numFmtId="4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 applyProtection="1">
      <alignment horizontal="justify" vertical="center"/>
      <protection locked="0"/>
    </xf>
    <xf numFmtId="4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justify" vertical="center"/>
    </xf>
    <xf numFmtId="164" fontId="6" fillId="0" borderId="0" xfId="0" applyNumberFormat="1" applyFont="1" applyAlignment="1">
      <alignment horizontal="right" vertical="center"/>
    </xf>
    <xf numFmtId="10" fontId="20" fillId="3" borderId="1" xfId="0" applyNumberFormat="1" applyFont="1" applyFill="1" applyBorder="1" applyAlignment="1">
      <alignment vertical="center"/>
    </xf>
    <xf numFmtId="10" fontId="5" fillId="0" borderId="1" xfId="2" applyNumberFormat="1" applyFont="1" applyFill="1" applyBorder="1" applyAlignment="1">
      <alignment vertical="center" wrapText="1"/>
    </xf>
    <xf numFmtId="164" fontId="6" fillId="0" borderId="1" xfId="2" applyFont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4" fontId="6" fillId="5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10" fontId="26" fillId="0" borderId="1" xfId="0" applyNumberFormat="1" applyFont="1" applyBorder="1" applyAlignment="1">
      <alignment vertical="center"/>
    </xf>
    <xf numFmtId="166" fontId="26" fillId="0" borderId="1" xfId="0" applyNumberFormat="1" applyFont="1" applyBorder="1" applyAlignment="1">
      <alignment vertical="center"/>
    </xf>
    <xf numFmtId="4" fontId="19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2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4" fontId="6" fillId="0" borderId="0" xfId="2" applyNumberFormat="1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" fontId="30" fillId="0" borderId="1" xfId="0" quotePrefix="1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" fontId="31" fillId="0" borderId="1" xfId="0" quotePrefix="1" applyNumberFormat="1" applyFont="1" applyBorder="1" applyAlignment="1">
      <alignment horizontal="right" vertical="center"/>
    </xf>
    <xf numFmtId="4" fontId="29" fillId="0" borderId="1" xfId="0" applyNumberFormat="1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right" vertical="center"/>
    </xf>
    <xf numFmtId="4" fontId="29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4" fontId="29" fillId="0" borderId="0" xfId="0" applyNumberFormat="1" applyFont="1" applyAlignment="1">
      <alignment horizontal="right" vertical="center"/>
    </xf>
    <xf numFmtId="0" fontId="32" fillId="0" borderId="0" xfId="10" applyFont="1"/>
    <xf numFmtId="0" fontId="29" fillId="0" borderId="0" xfId="0" applyFont="1"/>
    <xf numFmtId="166" fontId="29" fillId="0" borderId="1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wrapText="1"/>
    </xf>
    <xf numFmtId="4" fontId="9" fillId="0" borderId="0" xfId="0" applyNumberFormat="1" applyFont="1" applyAlignment="1">
      <alignment horizontal="left" wrapText="1"/>
    </xf>
    <xf numFmtId="2" fontId="19" fillId="0" borderId="0" xfId="0" applyNumberFormat="1" applyFont="1" applyAlignment="1">
      <alignment vertical="center" wrapText="1"/>
    </xf>
    <xf numFmtId="167" fontId="10" fillId="0" borderId="0" xfId="0" applyNumberFormat="1" applyFont="1"/>
    <xf numFmtId="166" fontId="9" fillId="2" borderId="0" xfId="0" applyNumberFormat="1" applyFont="1" applyFill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9" fillId="0" borderId="0" xfId="0" quotePrefix="1" applyNumberFormat="1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20" fillId="0" borderId="4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 wrapText="1"/>
    </xf>
    <xf numFmtId="2" fontId="20" fillId="0" borderId="4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left" vertical="center" wrapText="1"/>
    </xf>
    <xf numFmtId="2" fontId="19" fillId="0" borderId="4" xfId="0" applyNumberFormat="1" applyFont="1" applyBorder="1" applyAlignment="1">
      <alignment horizontal="left" vertical="center"/>
    </xf>
    <xf numFmtId="2" fontId="19" fillId="0" borderId="2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</cellXfs>
  <cellStyles count="11">
    <cellStyle name="Hiperlink" xfId="10" builtinId="8"/>
    <cellStyle name="Normal" xfId="0" builtinId="0"/>
    <cellStyle name="Normal 2" xfId="5" xr:uid="{00000000-0005-0000-0000-000001000000}"/>
    <cellStyle name="Normal 3" xfId="9" xr:uid="{4B576477-B121-42C1-BA67-A103BB64D89F}"/>
    <cellStyle name="Normal 4" xfId="6" xr:uid="{288D5804-B691-4DF4-AAAB-A2C0BDB240D7}"/>
    <cellStyle name="Porcentagem" xfId="1" builtinId="5"/>
    <cellStyle name="Porcentagem 2" xfId="4" xr:uid="{00000000-0005-0000-0000-000003000000}"/>
    <cellStyle name="Separador de milhares 2" xfId="3" xr:uid="{00000000-0005-0000-0000-000004000000}"/>
    <cellStyle name="Separador de milhares 2 2" xfId="8" xr:uid="{BA57569A-FC77-4BC5-8703-7DCCBE729BEA}"/>
    <cellStyle name="Vírgula" xfId="2" builtinId="3"/>
    <cellStyle name="Vírgula 2" xfId="7" xr:uid="{20D47C93-5D27-4EC3-BA6C-528AC36ACD07}"/>
  </cellStyles>
  <dxfs count="0"/>
  <tableStyles count="1" defaultTableStyle="TableStyleMedium9" defaultPivotStyle="PivotStyleLight16">
    <tableStyle name="Invisible" pivot="0" table="0" count="0" xr9:uid="{6BD30137-F1A8-49DB-A63E-F47741E61823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18</xdr:row>
      <xdr:rowOff>76200</xdr:rowOff>
    </xdr:from>
    <xdr:to>
      <xdr:col>2</xdr:col>
      <xdr:colOff>1323975</xdr:colOff>
      <xdr:row>18</xdr:row>
      <xdr:rowOff>419100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9824D3D-EAFE-4808-BE42-1BF9A54CE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27095" y="4069080"/>
          <a:ext cx="647700" cy="3048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314325</xdr:colOff>
      <xdr:row>19</xdr:row>
      <xdr:rowOff>85725</xdr:rowOff>
    </xdr:from>
    <xdr:to>
      <xdr:col>2</xdr:col>
      <xdr:colOff>1866900</xdr:colOff>
      <xdr:row>19</xdr:row>
      <xdr:rowOff>428625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8C9F64E-78A0-4981-8640-7D8945F4F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65145" y="4459605"/>
          <a:ext cx="1552575" cy="297180"/>
        </a:xfrm>
        <a:prstGeom prst="rect">
          <a:avLst/>
        </a:prstGeom>
        <a:noFill/>
      </xdr:spPr>
    </xdr:pic>
    <xdr:clientData/>
  </xdr:twoCellAnchor>
  <xdr:twoCellAnchor>
    <xdr:from>
      <xdr:col>2</xdr:col>
      <xdr:colOff>714375</xdr:colOff>
      <xdr:row>20</xdr:row>
      <xdr:rowOff>85725</xdr:rowOff>
    </xdr:from>
    <xdr:to>
      <xdr:col>2</xdr:col>
      <xdr:colOff>1304925</xdr:colOff>
      <xdr:row>20</xdr:row>
      <xdr:rowOff>409575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E430361-333D-4883-88CE-5081A4D50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195" y="4840605"/>
          <a:ext cx="590550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704850</xdr:colOff>
      <xdr:row>21</xdr:row>
      <xdr:rowOff>95250</xdr:rowOff>
    </xdr:from>
    <xdr:to>
      <xdr:col>2</xdr:col>
      <xdr:colOff>1352550</xdr:colOff>
      <xdr:row>21</xdr:row>
      <xdr:rowOff>419100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7C179A2-E576-4827-8341-0AB4154B8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5670" y="5231130"/>
          <a:ext cx="6477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600075</xdr:colOff>
      <xdr:row>24</xdr:row>
      <xdr:rowOff>142875</xdr:rowOff>
    </xdr:from>
    <xdr:to>
      <xdr:col>2</xdr:col>
      <xdr:colOff>1238250</xdr:colOff>
      <xdr:row>24</xdr:row>
      <xdr:rowOff>323850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CBFB972-8EA9-4DE6-A5BA-7C200E534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895" y="6238875"/>
          <a:ext cx="6381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695325</xdr:colOff>
      <xdr:row>26</xdr:row>
      <xdr:rowOff>142875</xdr:rowOff>
    </xdr:from>
    <xdr:to>
      <xdr:col>2</xdr:col>
      <xdr:colOff>1304925</xdr:colOff>
      <xdr:row>26</xdr:row>
      <xdr:rowOff>323850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7ECD9B4-95AE-49E1-BB8A-11F7E59AF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145" y="7145655"/>
          <a:ext cx="609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685800</xdr:colOff>
      <xdr:row>27</xdr:row>
      <xdr:rowOff>133350</xdr:rowOff>
    </xdr:from>
    <xdr:to>
      <xdr:col>2</xdr:col>
      <xdr:colOff>1333500</xdr:colOff>
      <xdr:row>27</xdr:row>
      <xdr:rowOff>314325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2A148156-E762-4D23-9D4D-7119182E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6620" y="7486650"/>
          <a:ext cx="6477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11</xdr:row>
      <xdr:rowOff>95250</xdr:rowOff>
    </xdr:from>
    <xdr:to>
      <xdr:col>0</xdr:col>
      <xdr:colOff>3781425</xdr:colOff>
      <xdr:row>11</xdr:row>
      <xdr:rowOff>466725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1450" y="3286125"/>
          <a:ext cx="3609975" cy="3714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11</xdr:row>
      <xdr:rowOff>95250</xdr:rowOff>
    </xdr:from>
    <xdr:to>
      <xdr:col>0</xdr:col>
      <xdr:colOff>3781425</xdr:colOff>
      <xdr:row>11</xdr:row>
      <xdr:rowOff>466725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1450" y="3286125"/>
          <a:ext cx="3609975" cy="3714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11</xdr:row>
      <xdr:rowOff>95250</xdr:rowOff>
    </xdr:from>
    <xdr:to>
      <xdr:col>0</xdr:col>
      <xdr:colOff>3781425</xdr:colOff>
      <xdr:row>11</xdr:row>
      <xdr:rowOff>466725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BC7908-CDFC-433A-B2FB-2D1B1E4A1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1450" y="3286125"/>
          <a:ext cx="3609975" cy="3714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11</xdr:row>
      <xdr:rowOff>95250</xdr:rowOff>
    </xdr:from>
    <xdr:to>
      <xdr:col>0</xdr:col>
      <xdr:colOff>3781425</xdr:colOff>
      <xdr:row>11</xdr:row>
      <xdr:rowOff>466725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C38020DA-3BF6-4A8F-ABF3-9CE11BF30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1450" y="3286125"/>
          <a:ext cx="3609975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quivos%20de%20Trabalho\camaragibe\projeto%202\composi&#231;&#227;o\planilha%20pre&#231;os1b_licita&#231;&#227;o_BAK.xlsx" TargetMode="External"/><Relationship Id="rId1" Type="http://schemas.openxmlformats.org/officeDocument/2006/relationships/externalLinkPath" Target="file:///D:\Arquivos%20de%20Trabalho\camaragibe\projeto%202\composi&#231;&#227;o\planilha%20pre&#231;os1b_licita&#231;&#227;o_B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terro"/>
      <sheetName val="DADOS"/>
      <sheetName val="COLETOR"/>
      <sheetName val="MOTORISTA"/>
      <sheetName val="ENC I"/>
      <sheetName val="VIGIA"/>
      <sheetName val="ORIENT"/>
      <sheetName val="BASC DESTINO"/>
      <sheetName val="Cavalo"/>
      <sheetName val="Carreta"/>
      <sheetName val="trator d5"/>
      <sheetName val="ESC1"/>
      <sheetName val="TRANSB"/>
      <sheetName val="Planilha1"/>
      <sheetName val="Encargos"/>
      <sheetName val="BDI"/>
      <sheetName val="DRENO I"/>
      <sheetName val="DRENO II"/>
      <sheetName val="CAN CONC"/>
      <sheetName val="CAN BER"/>
      <sheetName val="DRENO G"/>
      <sheetName val="RENO"/>
    </sheetNames>
    <sheetDataSet>
      <sheetData sheetId="0">
        <row r="6">
          <cell r="H6">
            <v>72689.460000000006</v>
          </cell>
          <cell r="J6">
            <v>56039.98</v>
          </cell>
        </row>
        <row r="19">
          <cell r="H19">
            <v>123760.46</v>
          </cell>
          <cell r="J19">
            <v>95413.200000000012</v>
          </cell>
        </row>
        <row r="28">
          <cell r="J28">
            <v>4089.71</v>
          </cell>
        </row>
        <row r="32">
          <cell r="J32">
            <v>99148.533484</v>
          </cell>
        </row>
        <row r="42">
          <cell r="J42">
            <v>55485.32</v>
          </cell>
        </row>
        <row r="48">
          <cell r="J48">
            <v>47558.63</v>
          </cell>
        </row>
        <row r="54">
          <cell r="H54">
            <v>21855.319166666668</v>
          </cell>
        </row>
        <row r="55">
          <cell r="H55">
            <v>5304.7628409999998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essoas.feb.unesp.br/barbara/files/2013/08/aula_frete.pdf" TargetMode="Externa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pessoas.feb.unesp.br/barbara/files/2013/08/aula_frete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2"/>
  <sheetViews>
    <sheetView tabSelected="1" view="pageBreakPreview" topLeftCell="A15" zoomScaleSheetLayoutView="100" workbookViewId="0">
      <selection activeCell="K22" sqref="K22"/>
    </sheetView>
  </sheetViews>
  <sheetFormatPr defaultColWidth="12" defaultRowHeight="12.75" x14ac:dyDescent="0.2"/>
  <cols>
    <col min="1" max="1" width="7.33203125" style="200" customWidth="1"/>
    <col min="2" max="2" width="51.83203125" style="1" customWidth="1"/>
    <col min="3" max="3" width="14.83203125" style="65" customWidth="1"/>
    <col min="4" max="4" width="12.83203125" style="1" customWidth="1"/>
    <col min="5" max="5" width="14.83203125" style="65" customWidth="1"/>
    <col min="6" max="6" width="18.83203125" style="65" customWidth="1"/>
    <col min="7" max="7" width="15.83203125" style="65" customWidth="1"/>
    <col min="8" max="8" width="12" style="1"/>
    <col min="9" max="9" width="13" style="65" customWidth="1"/>
    <col min="10" max="16384" width="12" style="1"/>
  </cols>
  <sheetData>
    <row r="2" spans="1:9" x14ac:dyDescent="0.2">
      <c r="A2" s="320" t="s">
        <v>537</v>
      </c>
      <c r="B2" s="320"/>
      <c r="C2" s="320"/>
      <c r="D2" s="320"/>
      <c r="E2" s="320"/>
      <c r="F2" s="320"/>
    </row>
    <row r="3" spans="1:9" x14ac:dyDescent="0.2">
      <c r="A3" s="320"/>
      <c r="B3" s="320"/>
      <c r="C3" s="320"/>
      <c r="D3" s="320"/>
      <c r="E3" s="320"/>
      <c r="F3" s="320"/>
    </row>
    <row r="4" spans="1:9" ht="18" customHeight="1" x14ac:dyDescent="0.2">
      <c r="A4" s="320"/>
      <c r="B4" s="320"/>
      <c r="C4" s="320"/>
      <c r="D4" s="320"/>
      <c r="E4" s="320"/>
      <c r="F4" s="320"/>
    </row>
    <row r="5" spans="1:9" ht="24" customHeight="1" x14ac:dyDescent="0.2">
      <c r="A5" s="321" t="s">
        <v>60</v>
      </c>
      <c r="B5" s="322" t="s">
        <v>61</v>
      </c>
      <c r="C5" s="323" t="s">
        <v>62</v>
      </c>
      <c r="D5" s="321" t="s">
        <v>63</v>
      </c>
      <c r="E5" s="323" t="s">
        <v>59</v>
      </c>
      <c r="F5" s="323"/>
    </row>
    <row r="6" spans="1:9" ht="24" customHeight="1" x14ac:dyDescent="0.2">
      <c r="A6" s="321"/>
      <c r="B6" s="322"/>
      <c r="C6" s="323"/>
      <c r="D6" s="321"/>
      <c r="E6" s="239" t="s">
        <v>64</v>
      </c>
      <c r="F6" s="239" t="s">
        <v>65</v>
      </c>
    </row>
    <row r="7" spans="1:9" s="99" customFormat="1" ht="27.95" customHeight="1" x14ac:dyDescent="0.2">
      <c r="A7" s="193">
        <v>1</v>
      </c>
      <c r="B7" s="194" t="s">
        <v>457</v>
      </c>
      <c r="C7" s="246">
        <f>VARRIÇÃO!D88</f>
        <v>2846.25</v>
      </c>
      <c r="D7" s="195" t="s">
        <v>45</v>
      </c>
      <c r="E7" s="240">
        <f>VARRIÇÃO!D89</f>
        <v>136.07</v>
      </c>
      <c r="F7" s="241">
        <f t="shared" ref="F7:F13" si="0">ROUND(C7*E7,2)</f>
        <v>387289.24</v>
      </c>
      <c r="G7" s="202"/>
      <c r="H7" s="202"/>
      <c r="I7" s="203"/>
    </row>
    <row r="8" spans="1:9" s="99" customFormat="1" ht="27.95" customHeight="1" x14ac:dyDescent="0.2">
      <c r="A8" s="195">
        <v>2</v>
      </c>
      <c r="B8" s="194" t="s">
        <v>536</v>
      </c>
      <c r="C8" s="246">
        <f>DOMICILIAR!D103</f>
        <v>3496.46</v>
      </c>
      <c r="D8" s="195" t="s">
        <v>219</v>
      </c>
      <c r="E8" s="240">
        <f>DOMICILIAR!D104</f>
        <v>320.51</v>
      </c>
      <c r="F8" s="241">
        <f t="shared" si="0"/>
        <v>1120650.3899999999</v>
      </c>
      <c r="G8" s="202"/>
      <c r="H8" s="202"/>
      <c r="I8" s="203"/>
    </row>
    <row r="9" spans="1:9" s="99" customFormat="1" ht="27.95" customHeight="1" x14ac:dyDescent="0.2">
      <c r="A9" s="195">
        <v>3</v>
      </c>
      <c r="B9" s="194"/>
      <c r="C9" s="246"/>
      <c r="D9" s="195"/>
      <c r="E9" s="240"/>
      <c r="F9" s="241"/>
      <c r="G9" s="202"/>
      <c r="H9" s="202"/>
      <c r="I9" s="203"/>
    </row>
    <row r="10" spans="1:9" s="99" customFormat="1" ht="27.95" customHeight="1" x14ac:dyDescent="0.2">
      <c r="A10" s="193" t="s">
        <v>813</v>
      </c>
      <c r="B10" s="194" t="s">
        <v>627</v>
      </c>
      <c r="C10" s="246">
        <f>volumosos!D96</f>
        <v>493.33</v>
      </c>
      <c r="D10" s="195" t="s">
        <v>219</v>
      </c>
      <c r="E10" s="240">
        <f>ROUND(volumosos!D97,2)</f>
        <v>146.68</v>
      </c>
      <c r="F10" s="241">
        <f t="shared" si="0"/>
        <v>72361.64</v>
      </c>
      <c r="G10" s="202"/>
      <c r="H10" s="202"/>
      <c r="I10" s="203"/>
    </row>
    <row r="11" spans="1:9" s="99" customFormat="1" ht="27.95" customHeight="1" x14ac:dyDescent="0.2">
      <c r="A11" s="195" t="s">
        <v>814</v>
      </c>
      <c r="B11" s="194" t="s">
        <v>628</v>
      </c>
      <c r="C11" s="246">
        <f>'vol1'!D96</f>
        <v>1973.32</v>
      </c>
      <c r="D11" s="195" t="s">
        <v>219</v>
      </c>
      <c r="E11" s="240">
        <f>ROUND('vol1'!D97,2)</f>
        <v>112.24</v>
      </c>
      <c r="F11" s="241">
        <f t="shared" si="0"/>
        <v>221485.44</v>
      </c>
      <c r="G11" s="202"/>
      <c r="H11" s="202"/>
      <c r="I11" s="203"/>
    </row>
    <row r="12" spans="1:9" s="99" customFormat="1" ht="27.95" customHeight="1" x14ac:dyDescent="0.2">
      <c r="A12" s="193">
        <v>4</v>
      </c>
      <c r="B12" s="194" t="s">
        <v>531</v>
      </c>
      <c r="C12" s="246">
        <f>Podação!D91</f>
        <v>173.78</v>
      </c>
      <c r="D12" s="195" t="s">
        <v>219</v>
      </c>
      <c r="E12" s="240">
        <f>ROUND(Podação!D92,2)</f>
        <v>415.4</v>
      </c>
      <c r="F12" s="241">
        <f t="shared" si="0"/>
        <v>72188.210000000006</v>
      </c>
      <c r="G12" s="202"/>
      <c r="H12" s="202"/>
      <c r="I12" s="203"/>
    </row>
    <row r="13" spans="1:9" s="99" customFormat="1" ht="27.95" customHeight="1" x14ac:dyDescent="0.2">
      <c r="A13" s="195">
        <v>5</v>
      </c>
      <c r="B13" s="194" t="s">
        <v>567</v>
      </c>
      <c r="C13" s="246">
        <f>ENSACADA!D90</f>
        <v>1</v>
      </c>
      <c r="D13" s="195" t="s">
        <v>424</v>
      </c>
      <c r="E13" s="240">
        <f>ENSACADA!D91</f>
        <v>144533.91</v>
      </c>
      <c r="F13" s="241">
        <f t="shared" si="0"/>
        <v>144533.91</v>
      </c>
      <c r="G13" s="202"/>
      <c r="H13" s="202"/>
      <c r="I13" s="203"/>
    </row>
    <row r="14" spans="1:9" s="99" customFormat="1" ht="27.95" customHeight="1" x14ac:dyDescent="0.2">
      <c r="A14" s="193">
        <v>6</v>
      </c>
      <c r="B14" s="194" t="s">
        <v>648</v>
      </c>
      <c r="C14" s="246">
        <v>1</v>
      </c>
      <c r="D14" s="195" t="s">
        <v>424</v>
      </c>
      <c r="E14" s="240">
        <f>SELETIVA!D92</f>
        <v>49833.298884414791</v>
      </c>
      <c r="F14" s="241">
        <f t="shared" ref="F14:F24" si="1">C14*E14</f>
        <v>49833.298884414791</v>
      </c>
      <c r="G14" s="202"/>
      <c r="H14" s="202"/>
      <c r="I14" s="203"/>
    </row>
    <row r="15" spans="1:9" s="99" customFormat="1" ht="27.95" customHeight="1" x14ac:dyDescent="0.2">
      <c r="A15" s="195">
        <v>7</v>
      </c>
      <c r="B15" s="194" t="s">
        <v>332</v>
      </c>
      <c r="C15" s="246">
        <f>CAPINAÇÃO!D89</f>
        <v>32</v>
      </c>
      <c r="D15" s="195" t="s">
        <v>45</v>
      </c>
      <c r="E15" s="240">
        <f>CAPINAÇÃO!D90</f>
        <v>2832.64</v>
      </c>
      <c r="F15" s="241">
        <f>ROUND(C15*E15,2)</f>
        <v>90644.479999999996</v>
      </c>
      <c r="G15" s="202"/>
      <c r="H15" s="202"/>
      <c r="I15" s="203"/>
    </row>
    <row r="16" spans="1:9" s="99" customFormat="1" ht="27.95" customHeight="1" x14ac:dyDescent="0.2">
      <c r="A16" s="193">
        <v>8</v>
      </c>
      <c r="B16" s="194" t="s">
        <v>316</v>
      </c>
      <c r="C16" s="246">
        <f>pintura!D68</f>
        <v>32</v>
      </c>
      <c r="D16" s="195" t="s">
        <v>45</v>
      </c>
      <c r="E16" s="240">
        <f>ROUND(pintura!D69,2)</f>
        <v>703.71</v>
      </c>
      <c r="F16" s="241">
        <f>ROUND(C16*E16,2)</f>
        <v>22518.720000000001</v>
      </c>
      <c r="G16" s="202"/>
      <c r="H16" s="202"/>
      <c r="I16" s="203"/>
    </row>
    <row r="17" spans="1:9" s="99" customFormat="1" ht="27.95" customHeight="1" x14ac:dyDescent="0.2">
      <c r="A17" s="195">
        <v>9</v>
      </c>
      <c r="B17" s="194" t="s">
        <v>649</v>
      </c>
      <c r="C17" s="246">
        <f>diversos!D87</f>
        <v>2</v>
      </c>
      <c r="D17" s="195" t="s">
        <v>424</v>
      </c>
      <c r="E17" s="240">
        <f>ROUND(diversos!D88,2)</f>
        <v>102570.62</v>
      </c>
      <c r="F17" s="241">
        <f>ROUND(C17*E17,2)</f>
        <v>205141.24</v>
      </c>
      <c r="G17" s="202"/>
      <c r="H17" s="202"/>
    </row>
    <row r="18" spans="1:9" s="99" customFormat="1" ht="27.95" customHeight="1" x14ac:dyDescent="0.2">
      <c r="A18" s="193">
        <v>10</v>
      </c>
      <c r="B18" s="194" t="s">
        <v>629</v>
      </c>
      <c r="C18" s="246">
        <f>TRANSP!D107</f>
        <v>3496.46</v>
      </c>
      <c r="D18" s="195" t="s">
        <v>219</v>
      </c>
      <c r="E18" s="240">
        <f>ROUND(TRANSP!D108,2)</f>
        <v>131.01</v>
      </c>
      <c r="F18" s="241">
        <f>ROUND(C18*E18,2)</f>
        <v>458071.22</v>
      </c>
      <c r="G18" s="202"/>
      <c r="H18" s="202"/>
    </row>
    <row r="19" spans="1:9" s="99" customFormat="1" ht="27.95" customHeight="1" x14ac:dyDescent="0.2">
      <c r="A19" s="193">
        <v>11</v>
      </c>
      <c r="B19" s="194" t="s">
        <v>662</v>
      </c>
      <c r="C19" s="246"/>
      <c r="D19" s="195"/>
      <c r="E19" s="240"/>
      <c r="F19" s="241"/>
      <c r="G19" s="202"/>
      <c r="H19" s="202"/>
    </row>
    <row r="20" spans="1:9" s="99" customFormat="1" ht="27.95" customHeight="1" x14ac:dyDescent="0.2">
      <c r="A20" s="193" t="s">
        <v>815</v>
      </c>
      <c r="B20" s="194" t="s">
        <v>68</v>
      </c>
      <c r="C20" s="246">
        <v>1</v>
      </c>
      <c r="D20" s="195" t="s">
        <v>655</v>
      </c>
      <c r="E20" s="240">
        <f>ROUND([1]aterro!$H$6,2)</f>
        <v>72689.460000000006</v>
      </c>
      <c r="F20" s="241">
        <f>C20*E20</f>
        <v>72689.460000000006</v>
      </c>
      <c r="G20" s="202"/>
      <c r="H20" s="202"/>
    </row>
    <row r="21" spans="1:9" s="99" customFormat="1" ht="27.95" customHeight="1" x14ac:dyDescent="0.2">
      <c r="A21" s="193" t="s">
        <v>816</v>
      </c>
      <c r="B21" s="194" t="s">
        <v>58</v>
      </c>
      <c r="C21" s="246">
        <v>1</v>
      </c>
      <c r="D21" s="195" t="s">
        <v>655</v>
      </c>
      <c r="E21" s="240">
        <f>ROUND([1]aterro!$H$19,2)</f>
        <v>123760.46</v>
      </c>
      <c r="F21" s="241">
        <f>C21*E21</f>
        <v>123760.46</v>
      </c>
      <c r="G21" s="202"/>
      <c r="H21" s="202"/>
    </row>
    <row r="22" spans="1:9" s="99" customFormat="1" ht="27.95" customHeight="1" x14ac:dyDescent="0.2">
      <c r="A22" s="193" t="s">
        <v>817</v>
      </c>
      <c r="B22" s="194" t="s">
        <v>650</v>
      </c>
      <c r="C22" s="246">
        <v>1</v>
      </c>
      <c r="D22" s="195" t="s">
        <v>655</v>
      </c>
      <c r="E22" s="240">
        <f>[1]aterro!$H$54</f>
        <v>21855.319166666668</v>
      </c>
      <c r="F22" s="241">
        <f t="shared" ref="F22:F23" si="2">C22*E22</f>
        <v>21855.319166666668</v>
      </c>
      <c r="G22" s="202"/>
      <c r="H22" s="202"/>
    </row>
    <row r="23" spans="1:9" s="99" customFormat="1" ht="27.95" customHeight="1" x14ac:dyDescent="0.2">
      <c r="A23" s="193" t="s">
        <v>818</v>
      </c>
      <c r="B23" s="165" t="s">
        <v>663</v>
      </c>
      <c r="C23" s="246">
        <v>1</v>
      </c>
      <c r="D23" s="195" t="s">
        <v>655</v>
      </c>
      <c r="E23" s="240">
        <f>[1]aterro!$H$55</f>
        <v>5304.7628409999998</v>
      </c>
      <c r="F23" s="241">
        <f t="shared" si="2"/>
        <v>5304.7628409999998</v>
      </c>
      <c r="G23" s="202"/>
      <c r="H23" s="202"/>
    </row>
    <row r="24" spans="1:9" s="99" customFormat="1" ht="27.95" customHeight="1" x14ac:dyDescent="0.2">
      <c r="A24" s="193">
        <v>12</v>
      </c>
      <c r="B24" s="194" t="s">
        <v>455</v>
      </c>
      <c r="C24" s="246">
        <v>1</v>
      </c>
      <c r="D24" s="197" t="s">
        <v>565</v>
      </c>
      <c r="E24" s="240">
        <f>'Adm1'!C183</f>
        <v>140245.03</v>
      </c>
      <c r="F24" s="241">
        <f t="shared" si="1"/>
        <v>140245.03</v>
      </c>
      <c r="G24" s="202"/>
      <c r="H24" s="202"/>
    </row>
    <row r="25" spans="1:9" s="99" customFormat="1" ht="21.95" customHeight="1" x14ac:dyDescent="0.2">
      <c r="A25" s="204"/>
      <c r="B25" s="205"/>
      <c r="C25" s="247"/>
      <c r="D25" s="195"/>
      <c r="E25" s="240"/>
      <c r="F25" s="241"/>
      <c r="G25" s="202"/>
      <c r="H25" s="202"/>
    </row>
    <row r="26" spans="1:9" s="99" customFormat="1" ht="21.95" customHeight="1" x14ac:dyDescent="0.2">
      <c r="A26" s="204"/>
      <c r="B26" s="196" t="s">
        <v>180</v>
      </c>
      <c r="C26" s="248"/>
      <c r="D26" s="196"/>
      <c r="E26" s="242"/>
      <c r="F26" s="243">
        <f>ROUND((SUM(F7:F24)),2)</f>
        <v>3208572.82</v>
      </c>
      <c r="G26" s="202"/>
      <c r="H26" s="202"/>
    </row>
    <row r="27" spans="1:9" s="99" customFormat="1" ht="21.95" customHeight="1" x14ac:dyDescent="0.2">
      <c r="A27" s="204"/>
      <c r="B27" s="196" t="s">
        <v>820</v>
      </c>
      <c r="C27" s="248"/>
      <c r="D27" s="196"/>
      <c r="E27" s="242"/>
      <c r="F27" s="243">
        <f>F26*12</f>
        <v>38502873.839999996</v>
      </c>
      <c r="H27" s="202"/>
    </row>
    <row r="28" spans="1:9" ht="36" customHeight="1" x14ac:dyDescent="0.2">
      <c r="A28" s="204"/>
      <c r="B28" s="196" t="s">
        <v>819</v>
      </c>
      <c r="C28" s="248"/>
      <c r="D28" s="196"/>
      <c r="E28" s="244"/>
      <c r="F28" s="206">
        <f>F26*24</f>
        <v>77005747.679999992</v>
      </c>
      <c r="G28" s="1"/>
      <c r="H28" s="65"/>
      <c r="I28" s="1"/>
    </row>
    <row r="29" spans="1:9" x14ac:dyDescent="0.2">
      <c r="G29" s="1"/>
      <c r="H29" s="65"/>
      <c r="I29" s="1"/>
    </row>
    <row r="30" spans="1:9" x14ac:dyDescent="0.2">
      <c r="F30" s="245"/>
      <c r="G30" s="1"/>
      <c r="H30" s="65"/>
      <c r="I30" s="1"/>
    </row>
    <row r="31" spans="1:9" x14ac:dyDescent="0.2">
      <c r="G31" s="1"/>
      <c r="H31" s="65"/>
      <c r="I31" s="1"/>
    </row>
    <row r="32" spans="1:9" x14ac:dyDescent="0.2">
      <c r="F32" s="127"/>
      <c r="G32" s="1"/>
      <c r="H32" s="65"/>
      <c r="I32" s="1"/>
    </row>
    <row r="33" spans="2:9" x14ac:dyDescent="0.2">
      <c r="B33" s="208"/>
      <c r="G33" s="1"/>
      <c r="H33" s="65"/>
      <c r="I33" s="1"/>
    </row>
    <row r="34" spans="2:9" x14ac:dyDescent="0.2">
      <c r="B34" s="208"/>
      <c r="G34" s="1"/>
      <c r="H34" s="65"/>
      <c r="I34" s="1"/>
    </row>
    <row r="35" spans="2:9" x14ac:dyDescent="0.2">
      <c r="B35" s="201"/>
      <c r="G35" s="1"/>
      <c r="H35" s="65"/>
      <c r="I35" s="1"/>
    </row>
    <row r="36" spans="2:9" x14ac:dyDescent="0.2">
      <c r="B36" s="201"/>
      <c r="G36" s="1"/>
      <c r="H36" s="65"/>
      <c r="I36" s="1"/>
    </row>
    <row r="37" spans="2:9" x14ac:dyDescent="0.2">
      <c r="B37" s="199"/>
      <c r="G37" s="1"/>
      <c r="H37" s="65"/>
      <c r="I37" s="1"/>
    </row>
    <row r="38" spans="2:9" x14ac:dyDescent="0.2">
      <c r="B38" s="208"/>
      <c r="G38" s="1"/>
      <c r="H38" s="65"/>
      <c r="I38" s="1"/>
    </row>
    <row r="39" spans="2:9" x14ac:dyDescent="0.2">
      <c r="B39" s="201"/>
      <c r="G39" s="1"/>
      <c r="H39" s="65"/>
      <c r="I39" s="1"/>
    </row>
    <row r="40" spans="2:9" x14ac:dyDescent="0.2">
      <c r="B40" s="199"/>
      <c r="G40" s="1"/>
      <c r="H40" s="65"/>
      <c r="I40" s="1"/>
    </row>
    <row r="41" spans="2:9" x14ac:dyDescent="0.2">
      <c r="B41" s="208"/>
      <c r="G41" s="1"/>
      <c r="H41" s="65"/>
      <c r="I41" s="1"/>
    </row>
    <row r="42" spans="2:9" x14ac:dyDescent="0.2">
      <c r="B42" s="201"/>
      <c r="G42" s="1"/>
      <c r="H42" s="65"/>
      <c r="I42" s="1"/>
    </row>
    <row r="43" spans="2:9" x14ac:dyDescent="0.2">
      <c r="B43" s="201"/>
      <c r="G43" s="1"/>
      <c r="H43" s="65"/>
      <c r="I43" s="1"/>
    </row>
    <row r="44" spans="2:9" x14ac:dyDescent="0.2">
      <c r="B44" s="201"/>
    </row>
    <row r="45" spans="2:9" x14ac:dyDescent="0.2">
      <c r="B45" s="201"/>
    </row>
    <row r="46" spans="2:9" x14ac:dyDescent="0.2">
      <c r="B46" s="201"/>
      <c r="C46" s="249"/>
    </row>
    <row r="47" spans="2:9" x14ac:dyDescent="0.2">
      <c r="B47" s="201"/>
    </row>
    <row r="48" spans="2:9" x14ac:dyDescent="0.2">
      <c r="B48" s="208"/>
    </row>
    <row r="49" spans="2:2" x14ac:dyDescent="0.2">
      <c r="B49" s="208"/>
    </row>
    <row r="50" spans="2:2" x14ac:dyDescent="0.2">
      <c r="B50" s="201"/>
    </row>
    <row r="51" spans="2:2" x14ac:dyDescent="0.2">
      <c r="B51" s="208"/>
    </row>
    <row r="52" spans="2:2" x14ac:dyDescent="0.2">
      <c r="B52" s="208"/>
    </row>
    <row r="53" spans="2:2" x14ac:dyDescent="0.2">
      <c r="B53" s="94"/>
    </row>
    <row r="82" spans="5:5" x14ac:dyDescent="0.2">
      <c r="E82" s="65" t="s">
        <v>691</v>
      </c>
    </row>
  </sheetData>
  <mergeCells count="8">
    <mergeCell ref="A2:F2"/>
    <mergeCell ref="A4:F4"/>
    <mergeCell ref="A5:A6"/>
    <mergeCell ref="B5:B6"/>
    <mergeCell ref="D5:D6"/>
    <mergeCell ref="C5:C6"/>
    <mergeCell ref="E5:F5"/>
    <mergeCell ref="A3:F3"/>
  </mergeCells>
  <phoneticPr fontId="0" type="noConversion"/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              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8"/>
  <sheetViews>
    <sheetView view="pageBreakPreview" topLeftCell="A6" zoomScaleNormal="100" zoomScaleSheetLayoutView="100" workbookViewId="0">
      <selection activeCell="E34" sqref="E1:G1048576"/>
    </sheetView>
  </sheetViews>
  <sheetFormatPr defaultColWidth="12" defaultRowHeight="12.75" x14ac:dyDescent="0.2"/>
  <cols>
    <col min="1" max="1" width="62.1640625" style="11" customWidth="1"/>
    <col min="2" max="2" width="18.33203125" style="11" customWidth="1"/>
    <col min="3" max="3" width="11" style="11" customWidth="1"/>
    <col min="4" max="4" width="12" style="11"/>
    <col min="5" max="7" width="0" style="11" hidden="1" customWidth="1"/>
    <col min="8" max="16384" width="12" style="11"/>
  </cols>
  <sheetData>
    <row r="1" spans="1:6" ht="18.75" hidden="1" x14ac:dyDescent="0.3">
      <c r="A1" s="335" t="s">
        <v>215</v>
      </c>
      <c r="B1" s="335"/>
      <c r="C1" s="9"/>
      <c r="D1" s="9"/>
      <c r="E1" s="9"/>
      <c r="F1" s="10"/>
    </row>
    <row r="2" spans="1:6" ht="18" hidden="1" customHeight="1" x14ac:dyDescent="0.25">
      <c r="A2" s="335"/>
      <c r="B2" s="335"/>
      <c r="C2" s="9"/>
      <c r="D2" s="9"/>
      <c r="E2" s="9"/>
      <c r="F2" s="12"/>
    </row>
    <row r="3" spans="1:6" hidden="1" x14ac:dyDescent="0.2">
      <c r="A3" s="13"/>
      <c r="B3" s="13"/>
      <c r="C3" s="13"/>
      <c r="D3" s="13"/>
      <c r="E3" s="13"/>
      <c r="F3" s="13"/>
    </row>
    <row r="4" spans="1:6" hidden="1" x14ac:dyDescent="0.2">
      <c r="A4" s="13"/>
      <c r="B4" s="13"/>
      <c r="C4" s="13"/>
      <c r="D4" s="13"/>
      <c r="E4" s="13"/>
      <c r="F4" s="13"/>
    </row>
    <row r="5" spans="1:6" hidden="1" x14ac:dyDescent="0.2">
      <c r="A5" s="14" t="s">
        <v>187</v>
      </c>
      <c r="B5" s="14" t="s">
        <v>211</v>
      </c>
      <c r="C5" s="13"/>
      <c r="E5" s="13"/>
      <c r="F5" s="13"/>
    </row>
    <row r="6" spans="1:6" x14ac:dyDescent="0.2">
      <c r="A6" s="12"/>
      <c r="B6" s="13"/>
      <c r="C6" s="13"/>
      <c r="D6" s="13"/>
      <c r="E6" s="13"/>
    </row>
    <row r="7" spans="1:6" x14ac:dyDescent="0.2">
      <c r="A7" s="336" t="s">
        <v>0</v>
      </c>
      <c r="B7" s="336"/>
      <c r="C7" s="15"/>
      <c r="D7" s="15"/>
      <c r="E7" s="15"/>
    </row>
    <row r="8" spans="1:6" x14ac:dyDescent="0.2">
      <c r="A8" s="16"/>
      <c r="B8" s="16"/>
    </row>
    <row r="9" spans="1:6" x14ac:dyDescent="0.2">
      <c r="A9" s="17" t="s">
        <v>637</v>
      </c>
      <c r="B9" s="18"/>
    </row>
    <row r="10" spans="1:6" x14ac:dyDescent="0.2">
      <c r="A10" s="16"/>
      <c r="B10" s="16"/>
    </row>
    <row r="12" spans="1:6" x14ac:dyDescent="0.2">
      <c r="A12" s="19" t="s">
        <v>1</v>
      </c>
    </row>
    <row r="14" spans="1:6" x14ac:dyDescent="0.2">
      <c r="A14" s="20" t="s">
        <v>638</v>
      </c>
      <c r="B14" s="21">
        <f>DADOS!D8</f>
        <v>1751.87375</v>
      </c>
      <c r="C14" s="11" t="s">
        <v>130</v>
      </c>
    </row>
    <row r="15" spans="1:6" x14ac:dyDescent="0.2">
      <c r="A15" s="20" t="s">
        <v>190</v>
      </c>
      <c r="B15" s="30"/>
      <c r="C15" s="11" t="s">
        <v>130</v>
      </c>
    </row>
    <row r="16" spans="1:6" x14ac:dyDescent="0.2">
      <c r="A16" s="22" t="s">
        <v>4</v>
      </c>
      <c r="B16" s="21">
        <f>B14+B15</f>
        <v>1751.87375</v>
      </c>
      <c r="C16" s="11" t="s">
        <v>130</v>
      </c>
    </row>
    <row r="17" spans="1:4" x14ac:dyDescent="0.2">
      <c r="A17" s="20" t="s">
        <v>5</v>
      </c>
      <c r="B17" s="23">
        <f>COLETOR!B16</f>
        <v>81</v>
      </c>
      <c r="C17" s="11" t="s">
        <v>221</v>
      </c>
    </row>
    <row r="18" spans="1:4" x14ac:dyDescent="0.2">
      <c r="A18" s="20" t="s">
        <v>6</v>
      </c>
      <c r="B18" s="21">
        <f>+B16+(B16*B17/100)</f>
        <v>3170.8914875</v>
      </c>
      <c r="C18" s="11" t="s">
        <v>130</v>
      </c>
    </row>
    <row r="20" spans="1:4" x14ac:dyDescent="0.2">
      <c r="A20" s="19" t="s">
        <v>90</v>
      </c>
    </row>
    <row r="21" spans="1:4" x14ac:dyDescent="0.2">
      <c r="A21" s="11" t="s">
        <v>7</v>
      </c>
      <c r="C21" s="16"/>
      <c r="D21" s="16"/>
    </row>
    <row r="22" spans="1:4" x14ac:dyDescent="0.2">
      <c r="A22" s="20" t="s">
        <v>111</v>
      </c>
      <c r="B22" s="21">
        <f>B23+B24+B25+B26</f>
        <v>105.54283333333333</v>
      </c>
      <c r="C22" s="16" t="s">
        <v>130</v>
      </c>
      <c r="D22" s="16"/>
    </row>
    <row r="23" spans="1:4" x14ac:dyDescent="0.2">
      <c r="A23" s="20" t="s">
        <v>156</v>
      </c>
      <c r="B23" s="21">
        <f>'ENC I'!B23</f>
        <v>95</v>
      </c>
      <c r="C23" s="16" t="s">
        <v>130</v>
      </c>
      <c r="D23" s="16"/>
    </row>
    <row r="24" spans="1:4" x14ac:dyDescent="0.2">
      <c r="A24" s="20" t="s">
        <v>203</v>
      </c>
      <c r="B24" s="21">
        <f>'ENC I'!B24</f>
        <v>10.542833333333332</v>
      </c>
      <c r="C24" s="16" t="s">
        <v>130</v>
      </c>
      <c r="D24" s="16"/>
    </row>
    <row r="25" spans="1:4" x14ac:dyDescent="0.2">
      <c r="A25" s="22" t="s">
        <v>157</v>
      </c>
      <c r="B25" s="21">
        <v>0</v>
      </c>
      <c r="C25" s="16"/>
      <c r="D25" s="16"/>
    </row>
    <row r="26" spans="1:4" x14ac:dyDescent="0.2">
      <c r="A26" s="22" t="s">
        <v>158</v>
      </c>
      <c r="B26" s="21">
        <v>0</v>
      </c>
      <c r="C26" s="16"/>
      <c r="D26" s="16"/>
    </row>
    <row r="27" spans="1:4" x14ac:dyDescent="0.2">
      <c r="A27" s="22" t="s">
        <v>228</v>
      </c>
      <c r="B27" s="24">
        <f>DADOS!D18</f>
        <v>373.56</v>
      </c>
      <c r="C27" s="16" t="s">
        <v>130</v>
      </c>
    </row>
    <row r="28" spans="1:4" x14ac:dyDescent="0.2">
      <c r="A28" s="22" t="s">
        <v>169</v>
      </c>
      <c r="B28" s="24"/>
      <c r="C28" s="16" t="s">
        <v>130</v>
      </c>
    </row>
    <row r="29" spans="1:4" x14ac:dyDescent="0.2">
      <c r="A29" s="22" t="s">
        <v>538</v>
      </c>
      <c r="B29" s="24">
        <f>COLETOR!B29</f>
        <v>78.59</v>
      </c>
      <c r="C29" s="11" t="s">
        <v>130</v>
      </c>
    </row>
    <row r="30" spans="1:4" x14ac:dyDescent="0.2">
      <c r="A30" s="22" t="s">
        <v>354</v>
      </c>
      <c r="B30" s="24">
        <f>B27+B22+B28+B29</f>
        <v>557.6928333333334</v>
      </c>
      <c r="C30" s="16" t="s">
        <v>130</v>
      </c>
    </row>
    <row r="32" spans="1:4" x14ac:dyDescent="0.2">
      <c r="A32" s="25" t="s">
        <v>9</v>
      </c>
      <c r="B32" s="26">
        <f>B30+B18</f>
        <v>3728.5843208333335</v>
      </c>
      <c r="C32" s="31" t="s">
        <v>130</v>
      </c>
    </row>
    <row r="33" spans="1:3" hidden="1" x14ac:dyDescent="0.2">
      <c r="A33" s="28" t="s">
        <v>302</v>
      </c>
      <c r="B33" s="26">
        <f>B32/220</f>
        <v>16.948110549242426</v>
      </c>
      <c r="C33" s="31" t="s">
        <v>296</v>
      </c>
    </row>
    <row r="34" spans="1:3" x14ac:dyDescent="0.2">
      <c r="A34" s="32"/>
      <c r="B34" s="33"/>
    </row>
    <row r="35" spans="1:3" x14ac:dyDescent="0.2">
      <c r="A35" s="17" t="str">
        <f>A9</f>
        <v>COMPOSIÇÃO AUXILIAR - AGENTE ADMINISTRATIVO I</v>
      </c>
    </row>
    <row r="37" spans="1:3" x14ac:dyDescent="0.2">
      <c r="A37" s="19" t="s">
        <v>1</v>
      </c>
    </row>
    <row r="39" spans="1:3" x14ac:dyDescent="0.2">
      <c r="A39" s="20" t="s">
        <v>638</v>
      </c>
      <c r="B39" s="21">
        <f>+B14</f>
        <v>1751.87375</v>
      </c>
      <c r="C39" s="11" t="s">
        <v>130</v>
      </c>
    </row>
    <row r="40" spans="1:3" x14ac:dyDescent="0.2">
      <c r="A40" s="20" t="s">
        <v>300</v>
      </c>
      <c r="B40" s="21"/>
      <c r="C40" s="11" t="s">
        <v>130</v>
      </c>
    </row>
    <row r="41" spans="1:3" x14ac:dyDescent="0.2">
      <c r="A41" s="20" t="s">
        <v>301</v>
      </c>
      <c r="B41" s="21">
        <f>+(B39+B40)/220*0.2*110</f>
        <v>175.187375</v>
      </c>
      <c r="C41" s="11" t="s">
        <v>130</v>
      </c>
    </row>
    <row r="42" spans="1:3" x14ac:dyDescent="0.2">
      <c r="A42" s="22" t="s">
        <v>176</v>
      </c>
      <c r="B42" s="21">
        <f>+B41+B39+B40</f>
        <v>1927.0611249999999</v>
      </c>
      <c r="C42" s="11" t="s">
        <v>130</v>
      </c>
    </row>
    <row r="43" spans="1:3" x14ac:dyDescent="0.2">
      <c r="A43" s="20" t="s">
        <v>177</v>
      </c>
      <c r="B43" s="23">
        <f>B17</f>
        <v>81</v>
      </c>
      <c r="C43" s="11" t="s">
        <v>221</v>
      </c>
    </row>
    <row r="44" spans="1:3" x14ac:dyDescent="0.2">
      <c r="A44" s="20" t="s">
        <v>178</v>
      </c>
      <c r="B44" s="21">
        <f>+B42+(B42*B43/100)</f>
        <v>3487.9806362499999</v>
      </c>
      <c r="C44" s="11" t="s">
        <v>130</v>
      </c>
    </row>
    <row r="46" spans="1:3" x14ac:dyDescent="0.2">
      <c r="A46" s="19" t="s">
        <v>90</v>
      </c>
    </row>
    <row r="47" spans="1:3" x14ac:dyDescent="0.2">
      <c r="A47" s="11" t="s">
        <v>7</v>
      </c>
    </row>
    <row r="48" spans="1:3" x14ac:dyDescent="0.2">
      <c r="A48" s="20" t="s">
        <v>111</v>
      </c>
      <c r="B48" s="21">
        <f>B49+B50+B51+B52</f>
        <v>105.54283333333333</v>
      </c>
      <c r="C48" s="11" t="s">
        <v>130</v>
      </c>
    </row>
    <row r="49" spans="1:7" x14ac:dyDescent="0.2">
      <c r="A49" s="20" t="s">
        <v>156</v>
      </c>
      <c r="B49" s="21">
        <f>B23</f>
        <v>95</v>
      </c>
      <c r="C49" s="11" t="s">
        <v>130</v>
      </c>
    </row>
    <row r="50" spans="1:7" x14ac:dyDescent="0.2">
      <c r="A50" s="20" t="s">
        <v>203</v>
      </c>
      <c r="B50" s="21">
        <f t="shared" ref="B50:B52" si="0">B24</f>
        <v>10.542833333333332</v>
      </c>
      <c r="C50" s="11" t="s">
        <v>130</v>
      </c>
      <c r="E50" s="67">
        <f>B49+B50</f>
        <v>105.54283333333333</v>
      </c>
      <c r="G50" s="67">
        <f>E50*12</f>
        <v>1266.5140000000001</v>
      </c>
    </row>
    <row r="51" spans="1:7" x14ac:dyDescent="0.2">
      <c r="A51" s="22" t="s">
        <v>157</v>
      </c>
      <c r="B51" s="21">
        <f t="shared" si="0"/>
        <v>0</v>
      </c>
    </row>
    <row r="52" spans="1:7" x14ac:dyDescent="0.2">
      <c r="A52" s="22" t="s">
        <v>158</v>
      </c>
      <c r="B52" s="21">
        <f t="shared" si="0"/>
        <v>0</v>
      </c>
    </row>
    <row r="53" spans="1:7" x14ac:dyDescent="0.2">
      <c r="A53" s="22" t="s">
        <v>355</v>
      </c>
      <c r="B53" s="24">
        <f>+B27</f>
        <v>373.56</v>
      </c>
      <c r="C53" s="11" t="s">
        <v>130</v>
      </c>
    </row>
    <row r="54" spans="1:7" x14ac:dyDescent="0.2">
      <c r="A54" s="22" t="s">
        <v>169</v>
      </c>
      <c r="B54" s="24"/>
      <c r="C54" s="11" t="s">
        <v>130</v>
      </c>
    </row>
    <row r="55" spans="1:7" x14ac:dyDescent="0.2">
      <c r="A55" s="22" t="s">
        <v>538</v>
      </c>
      <c r="B55" s="24">
        <f>B29</f>
        <v>78.59</v>
      </c>
      <c r="C55" s="11" t="s">
        <v>130</v>
      </c>
    </row>
    <row r="56" spans="1:7" x14ac:dyDescent="0.2">
      <c r="A56" s="22" t="s">
        <v>354</v>
      </c>
      <c r="B56" s="24">
        <f>B53+B48+B54+B55</f>
        <v>557.6928333333334</v>
      </c>
      <c r="C56" s="11" t="s">
        <v>130</v>
      </c>
    </row>
    <row r="57" spans="1:7" x14ac:dyDescent="0.2">
      <c r="A57" s="34"/>
      <c r="B57" s="34"/>
      <c r="C57" s="34"/>
    </row>
    <row r="58" spans="1:7" x14ac:dyDescent="0.2">
      <c r="A58" s="25" t="s">
        <v>9</v>
      </c>
      <c r="B58" s="26">
        <f>B56+B44</f>
        <v>4045.6734695833334</v>
      </c>
      <c r="C58" s="29" t="s">
        <v>130</v>
      </c>
    </row>
  </sheetData>
  <mergeCells count="3">
    <mergeCell ref="A1:B1"/>
    <mergeCell ref="A2:B2"/>
    <mergeCell ref="A7:B7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9"/>
  <sheetViews>
    <sheetView view="pageBreakPreview" topLeftCell="A6" zoomScaleSheetLayoutView="100" workbookViewId="0">
      <selection activeCell="B52" sqref="B52"/>
    </sheetView>
  </sheetViews>
  <sheetFormatPr defaultColWidth="12" defaultRowHeight="12.75" x14ac:dyDescent="0.2"/>
  <cols>
    <col min="1" max="1" width="62.1640625" style="11" customWidth="1"/>
    <col min="2" max="2" width="18.33203125" style="11" customWidth="1"/>
    <col min="3" max="3" width="11" style="11" customWidth="1"/>
    <col min="4" max="16384" width="12" style="11"/>
  </cols>
  <sheetData>
    <row r="1" spans="1:6" ht="18.75" hidden="1" x14ac:dyDescent="0.3">
      <c r="A1" s="335" t="s">
        <v>215</v>
      </c>
      <c r="B1" s="335"/>
      <c r="C1" s="9"/>
      <c r="D1" s="9"/>
      <c r="E1" s="9"/>
      <c r="F1" s="10"/>
    </row>
    <row r="2" spans="1:6" ht="18" hidden="1" customHeight="1" x14ac:dyDescent="0.25">
      <c r="A2" s="335"/>
      <c r="B2" s="335"/>
      <c r="C2" s="9"/>
      <c r="D2" s="9"/>
      <c r="E2" s="9"/>
      <c r="F2" s="12"/>
    </row>
    <row r="3" spans="1:6" hidden="1" x14ac:dyDescent="0.2">
      <c r="A3" s="13"/>
      <c r="B3" s="13"/>
      <c r="C3" s="13"/>
      <c r="D3" s="13"/>
      <c r="E3" s="13"/>
      <c r="F3" s="13"/>
    </row>
    <row r="4" spans="1:6" hidden="1" x14ac:dyDescent="0.2">
      <c r="A4" s="13"/>
      <c r="B4" s="13"/>
      <c r="C4" s="13"/>
      <c r="D4" s="13"/>
      <c r="E4" s="13"/>
      <c r="F4" s="13"/>
    </row>
    <row r="5" spans="1:6" hidden="1" x14ac:dyDescent="0.2">
      <c r="A5" s="14" t="s">
        <v>187</v>
      </c>
      <c r="B5" s="14" t="s">
        <v>211</v>
      </c>
      <c r="C5" s="13"/>
      <c r="E5" s="13"/>
      <c r="F5" s="13"/>
    </row>
    <row r="6" spans="1:6" x14ac:dyDescent="0.2">
      <c r="A6" s="12"/>
      <c r="B6" s="13"/>
      <c r="C6" s="13"/>
      <c r="D6" s="13"/>
      <c r="E6" s="13"/>
    </row>
    <row r="7" spans="1:6" x14ac:dyDescent="0.2">
      <c r="A7" s="336" t="s">
        <v>0</v>
      </c>
      <c r="B7" s="336"/>
      <c r="C7" s="15"/>
      <c r="D7" s="15"/>
      <c r="E7" s="15"/>
    </row>
    <row r="8" spans="1:6" x14ac:dyDescent="0.2">
      <c r="A8" s="16"/>
      <c r="B8" s="16"/>
    </row>
    <row r="9" spans="1:6" x14ac:dyDescent="0.2">
      <c r="A9" s="17" t="s">
        <v>339</v>
      </c>
      <c r="B9" s="18"/>
    </row>
    <row r="10" spans="1:6" x14ac:dyDescent="0.2">
      <c r="A10" s="16"/>
      <c r="B10" s="16"/>
    </row>
    <row r="12" spans="1:6" x14ac:dyDescent="0.2">
      <c r="A12" s="19" t="s">
        <v>1</v>
      </c>
    </row>
    <row r="14" spans="1:6" x14ac:dyDescent="0.2">
      <c r="A14" s="20" t="s">
        <v>351</v>
      </c>
      <c r="B14" s="21">
        <f>DADOS!D10</f>
        <v>5375</v>
      </c>
      <c r="C14" s="11" t="s">
        <v>130</v>
      </c>
    </row>
    <row r="15" spans="1:6" x14ac:dyDescent="0.2">
      <c r="A15" s="20" t="s">
        <v>190</v>
      </c>
      <c r="B15" s="30"/>
      <c r="C15" s="11" t="s">
        <v>130</v>
      </c>
    </row>
    <row r="16" spans="1:6" x14ac:dyDescent="0.2">
      <c r="A16" s="22" t="s">
        <v>4</v>
      </c>
      <c r="B16" s="21">
        <f>B14+B15</f>
        <v>5375</v>
      </c>
      <c r="C16" s="11" t="s">
        <v>130</v>
      </c>
    </row>
    <row r="17" spans="1:4" x14ac:dyDescent="0.2">
      <c r="A17" s="20" t="s">
        <v>5</v>
      </c>
      <c r="B17" s="23">
        <f>COLETOR!B16</f>
        <v>81</v>
      </c>
      <c r="C17" s="11" t="s">
        <v>221</v>
      </c>
    </row>
    <row r="18" spans="1:4" x14ac:dyDescent="0.2">
      <c r="A18" s="20" t="s">
        <v>6</v>
      </c>
      <c r="B18" s="21">
        <f>+B16+(B16*B17/100)</f>
        <v>9728.75</v>
      </c>
      <c r="C18" s="11" t="s">
        <v>130</v>
      </c>
    </row>
    <row r="20" spans="1:4" x14ac:dyDescent="0.2">
      <c r="A20" s="19" t="s">
        <v>90</v>
      </c>
    </row>
    <row r="21" spans="1:4" x14ac:dyDescent="0.2">
      <c r="A21" s="11" t="s">
        <v>7</v>
      </c>
      <c r="C21" s="16"/>
      <c r="D21" s="16"/>
    </row>
    <row r="22" spans="1:4" x14ac:dyDescent="0.2">
      <c r="A22" s="20" t="s">
        <v>111</v>
      </c>
      <c r="B22" s="21">
        <f>B23+B24+B25+B26</f>
        <v>0</v>
      </c>
      <c r="C22" s="16" t="s">
        <v>130</v>
      </c>
      <c r="D22" s="16"/>
    </row>
    <row r="23" spans="1:4" x14ac:dyDescent="0.2">
      <c r="A23" s="20" t="s">
        <v>156</v>
      </c>
      <c r="B23" s="21"/>
      <c r="C23" s="16" t="s">
        <v>130</v>
      </c>
      <c r="D23" s="16"/>
    </row>
    <row r="24" spans="1:4" x14ac:dyDescent="0.2">
      <c r="A24" s="20" t="s">
        <v>203</v>
      </c>
      <c r="B24" s="21"/>
      <c r="C24" s="16" t="s">
        <v>130</v>
      </c>
      <c r="D24" s="16"/>
    </row>
    <row r="25" spans="1:4" x14ac:dyDescent="0.2">
      <c r="A25" s="22" t="s">
        <v>157</v>
      </c>
      <c r="B25" s="21">
        <v>0</v>
      </c>
      <c r="C25" s="16"/>
      <c r="D25" s="16"/>
    </row>
    <row r="26" spans="1:4" x14ac:dyDescent="0.2">
      <c r="A26" s="22" t="s">
        <v>158</v>
      </c>
      <c r="B26" s="21">
        <v>0</v>
      </c>
      <c r="C26" s="16"/>
      <c r="D26" s="16"/>
    </row>
    <row r="27" spans="1:4" x14ac:dyDescent="0.2">
      <c r="A27" s="22" t="s">
        <v>228</v>
      </c>
      <c r="B27" s="24">
        <f>DADOS!D19</f>
        <v>373.56</v>
      </c>
      <c r="C27" s="16" t="s">
        <v>130</v>
      </c>
    </row>
    <row r="28" spans="1:4" x14ac:dyDescent="0.2">
      <c r="A28" s="22" t="s">
        <v>169</v>
      </c>
      <c r="B28" s="24"/>
      <c r="C28" s="16" t="s">
        <v>130</v>
      </c>
    </row>
    <row r="29" spans="1:4" x14ac:dyDescent="0.2">
      <c r="A29" s="22" t="s">
        <v>538</v>
      </c>
      <c r="B29" s="24">
        <f>COLETOR!B29</f>
        <v>78.59</v>
      </c>
      <c r="C29" s="11" t="s">
        <v>130</v>
      </c>
    </row>
    <row r="30" spans="1:4" x14ac:dyDescent="0.2">
      <c r="A30" s="22" t="s">
        <v>354</v>
      </c>
      <c r="B30" s="24">
        <f>B27+B22+B28+B29</f>
        <v>452.15</v>
      </c>
      <c r="C30" s="16" t="s">
        <v>130</v>
      </c>
    </row>
    <row r="32" spans="1:4" x14ac:dyDescent="0.2">
      <c r="A32" s="25" t="s">
        <v>9</v>
      </c>
      <c r="B32" s="26">
        <f>B30+B18</f>
        <v>10180.9</v>
      </c>
      <c r="C32" s="31" t="s">
        <v>130</v>
      </c>
    </row>
    <row r="33" spans="1:3" hidden="1" x14ac:dyDescent="0.2">
      <c r="A33" s="28" t="s">
        <v>302</v>
      </c>
      <c r="B33" s="26">
        <f>B32/220</f>
        <v>46.276818181818179</v>
      </c>
      <c r="C33" s="31" t="s">
        <v>296</v>
      </c>
    </row>
    <row r="34" spans="1:3" x14ac:dyDescent="0.2">
      <c r="A34" s="32"/>
      <c r="B34" s="33"/>
    </row>
    <row r="35" spans="1:3" x14ac:dyDescent="0.2">
      <c r="A35" s="17" t="str">
        <f>A9</f>
        <v xml:space="preserve">COMPOSIÇÃO AUXILIAR -  GERENTE I </v>
      </c>
    </row>
    <row r="37" spans="1:3" x14ac:dyDescent="0.2">
      <c r="A37" s="19" t="s">
        <v>1</v>
      </c>
    </row>
    <row r="39" spans="1:3" x14ac:dyDescent="0.2">
      <c r="A39" s="20" t="s">
        <v>351</v>
      </c>
      <c r="B39" s="21">
        <f>+B14</f>
        <v>5375</v>
      </c>
      <c r="C39" s="11" t="s">
        <v>130</v>
      </c>
    </row>
    <row r="40" spans="1:3" x14ac:dyDescent="0.2">
      <c r="A40" s="20" t="s">
        <v>300</v>
      </c>
      <c r="B40" s="21"/>
      <c r="C40" s="11" t="s">
        <v>130</v>
      </c>
    </row>
    <row r="41" spans="1:3" x14ac:dyDescent="0.2">
      <c r="A41" s="20" t="s">
        <v>301</v>
      </c>
      <c r="B41" s="21">
        <f>+(B39+B40)/220*0.2*110</f>
        <v>537.5</v>
      </c>
      <c r="C41" s="11" t="s">
        <v>130</v>
      </c>
    </row>
    <row r="42" spans="1:3" x14ac:dyDescent="0.2">
      <c r="A42" s="22" t="s">
        <v>176</v>
      </c>
      <c r="B42" s="21">
        <f>+B41+B39+B40</f>
        <v>5912.5</v>
      </c>
      <c r="C42" s="11" t="s">
        <v>130</v>
      </c>
    </row>
    <row r="43" spans="1:3" x14ac:dyDescent="0.2">
      <c r="A43" s="20" t="s">
        <v>177</v>
      </c>
      <c r="B43" s="23">
        <f>B17</f>
        <v>81</v>
      </c>
      <c r="C43" s="11" t="s">
        <v>221</v>
      </c>
    </row>
    <row r="44" spans="1:3" x14ac:dyDescent="0.2">
      <c r="A44" s="20" t="s">
        <v>178</v>
      </c>
      <c r="B44" s="21">
        <f>+B42+(B42*B43/100)</f>
        <v>10701.625</v>
      </c>
      <c r="C44" s="11" t="s">
        <v>130</v>
      </c>
    </row>
    <row r="46" spans="1:3" x14ac:dyDescent="0.2">
      <c r="A46" s="19" t="s">
        <v>90</v>
      </c>
    </row>
    <row r="47" spans="1:3" x14ac:dyDescent="0.2">
      <c r="A47" s="11" t="s">
        <v>7</v>
      </c>
    </row>
    <row r="48" spans="1:3" x14ac:dyDescent="0.2">
      <c r="A48" s="20" t="s">
        <v>111</v>
      </c>
      <c r="B48" s="21">
        <f>B22</f>
        <v>0</v>
      </c>
      <c r="C48" s="11" t="s">
        <v>130</v>
      </c>
    </row>
    <row r="49" spans="1:3" x14ac:dyDescent="0.2">
      <c r="A49" s="20" t="s">
        <v>156</v>
      </c>
      <c r="B49" s="21"/>
      <c r="C49" s="11" t="s">
        <v>130</v>
      </c>
    </row>
    <row r="50" spans="1:3" x14ac:dyDescent="0.2">
      <c r="A50" s="20" t="s">
        <v>356</v>
      </c>
      <c r="B50" s="21"/>
      <c r="C50" s="11" t="s">
        <v>130</v>
      </c>
    </row>
    <row r="51" spans="1:3" x14ac:dyDescent="0.2">
      <c r="A51" s="22" t="s">
        <v>157</v>
      </c>
      <c r="B51" s="21" t="e">
        <f>#REF!</f>
        <v>#REF!</v>
      </c>
    </row>
    <row r="52" spans="1:3" x14ac:dyDescent="0.2">
      <c r="A52" s="22" t="s">
        <v>158</v>
      </c>
      <c r="B52" s="21">
        <v>0</v>
      </c>
    </row>
    <row r="53" spans="1:3" x14ac:dyDescent="0.2">
      <c r="A53" s="22" t="s">
        <v>228</v>
      </c>
      <c r="B53" s="24">
        <f>+B27</f>
        <v>373.56</v>
      </c>
      <c r="C53" s="11" t="s">
        <v>130</v>
      </c>
    </row>
    <row r="54" spans="1:3" x14ac:dyDescent="0.2">
      <c r="A54" s="22" t="s">
        <v>169</v>
      </c>
      <c r="B54" s="24"/>
      <c r="C54" s="11" t="s">
        <v>130</v>
      </c>
    </row>
    <row r="55" spans="1:3" x14ac:dyDescent="0.2">
      <c r="A55" s="22" t="s">
        <v>538</v>
      </c>
      <c r="B55" s="24">
        <f>B29</f>
        <v>78.59</v>
      </c>
      <c r="C55" s="11" t="s">
        <v>130</v>
      </c>
    </row>
    <row r="56" spans="1:3" x14ac:dyDescent="0.2">
      <c r="A56" s="22" t="s">
        <v>354</v>
      </c>
      <c r="B56" s="24">
        <f>B53+B48+B54+B55</f>
        <v>452.15</v>
      </c>
      <c r="C56" s="11" t="s">
        <v>130</v>
      </c>
    </row>
    <row r="57" spans="1:3" x14ac:dyDescent="0.2">
      <c r="A57" s="34"/>
      <c r="B57" s="34"/>
      <c r="C57" s="34"/>
    </row>
    <row r="58" spans="1:3" x14ac:dyDescent="0.2">
      <c r="A58" s="25" t="s">
        <v>9</v>
      </c>
      <c r="B58" s="26">
        <f>B56+B44</f>
        <v>11153.775</v>
      </c>
      <c r="C58" s="29" t="s">
        <v>130</v>
      </c>
    </row>
    <row r="59" spans="1:3" hidden="1" x14ac:dyDescent="0.2">
      <c r="A59" s="28" t="s">
        <v>302</v>
      </c>
      <c r="B59" s="26">
        <f>B58/220</f>
        <v>50.698977272727269</v>
      </c>
      <c r="C59" s="31" t="s">
        <v>296</v>
      </c>
    </row>
  </sheetData>
  <mergeCells count="3">
    <mergeCell ref="A1:B1"/>
    <mergeCell ref="A2:B2"/>
    <mergeCell ref="A7:B7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9"/>
  <sheetViews>
    <sheetView view="pageBreakPreview" topLeftCell="A6" zoomScaleSheetLayoutView="100" workbookViewId="0">
      <selection activeCell="C50" sqref="C50:C52"/>
    </sheetView>
  </sheetViews>
  <sheetFormatPr defaultColWidth="12" defaultRowHeight="12.75" x14ac:dyDescent="0.2"/>
  <cols>
    <col min="1" max="1" width="62.1640625" style="11" customWidth="1"/>
    <col min="2" max="2" width="18.33203125" style="11" customWidth="1"/>
    <col min="3" max="3" width="11" style="11" customWidth="1"/>
    <col min="4" max="16384" width="12" style="11"/>
  </cols>
  <sheetData>
    <row r="1" spans="1:6" ht="18.75" hidden="1" x14ac:dyDescent="0.3">
      <c r="A1" s="335" t="s">
        <v>215</v>
      </c>
      <c r="B1" s="335"/>
      <c r="C1" s="9"/>
      <c r="D1" s="9"/>
      <c r="E1" s="9"/>
      <c r="F1" s="10"/>
    </row>
    <row r="2" spans="1:6" ht="18" hidden="1" customHeight="1" x14ac:dyDescent="0.25">
      <c r="A2" s="335"/>
      <c r="B2" s="335"/>
      <c r="C2" s="9"/>
      <c r="D2" s="9"/>
      <c r="E2" s="9"/>
      <c r="F2" s="12"/>
    </row>
    <row r="3" spans="1:6" hidden="1" x14ac:dyDescent="0.2">
      <c r="A3" s="13"/>
      <c r="B3" s="13"/>
      <c r="C3" s="13"/>
      <c r="D3" s="13"/>
      <c r="E3" s="13"/>
      <c r="F3" s="13"/>
    </row>
    <row r="4" spans="1:6" hidden="1" x14ac:dyDescent="0.2">
      <c r="A4" s="13"/>
      <c r="B4" s="13"/>
      <c r="C4" s="13"/>
      <c r="D4" s="13"/>
      <c r="E4" s="13"/>
      <c r="F4" s="13"/>
    </row>
    <row r="5" spans="1:6" hidden="1" x14ac:dyDescent="0.2">
      <c r="A5" s="14" t="s">
        <v>187</v>
      </c>
      <c r="B5" s="14" t="s">
        <v>211</v>
      </c>
      <c r="C5" s="13"/>
      <c r="E5" s="13"/>
      <c r="F5" s="13"/>
    </row>
    <row r="6" spans="1:6" x14ac:dyDescent="0.2">
      <c r="A6" s="12"/>
      <c r="B6" s="13"/>
      <c r="C6" s="13"/>
      <c r="D6" s="13"/>
      <c r="E6" s="13"/>
    </row>
    <row r="7" spans="1:6" x14ac:dyDescent="0.2">
      <c r="A7" s="336" t="s">
        <v>0</v>
      </c>
      <c r="B7" s="336"/>
      <c r="C7" s="15"/>
      <c r="D7" s="15"/>
      <c r="E7" s="15"/>
    </row>
    <row r="8" spans="1:6" x14ac:dyDescent="0.2">
      <c r="A8" s="16"/>
      <c r="B8" s="16"/>
    </row>
    <row r="9" spans="1:6" x14ac:dyDescent="0.2">
      <c r="A9" s="17" t="s">
        <v>340</v>
      </c>
      <c r="B9" s="18"/>
    </row>
    <row r="10" spans="1:6" x14ac:dyDescent="0.2">
      <c r="A10" s="16"/>
      <c r="B10" s="16"/>
    </row>
    <row r="12" spans="1:6" x14ac:dyDescent="0.2">
      <c r="A12" s="19" t="s">
        <v>1</v>
      </c>
    </row>
    <row r="14" spans="1:6" x14ac:dyDescent="0.2">
      <c r="A14" s="20" t="s">
        <v>352</v>
      </c>
      <c r="B14" s="21">
        <f>DADOS!D9</f>
        <v>1752.6047499999997</v>
      </c>
      <c r="C14" s="11" t="s">
        <v>130</v>
      </c>
    </row>
    <row r="15" spans="1:6" x14ac:dyDescent="0.2">
      <c r="A15" s="20" t="s">
        <v>190</v>
      </c>
      <c r="B15" s="30"/>
      <c r="C15" s="11" t="s">
        <v>130</v>
      </c>
    </row>
    <row r="16" spans="1:6" x14ac:dyDescent="0.2">
      <c r="A16" s="22" t="s">
        <v>4</v>
      </c>
      <c r="B16" s="21">
        <f>B14+B15</f>
        <v>1752.6047499999997</v>
      </c>
      <c r="C16" s="11" t="s">
        <v>130</v>
      </c>
    </row>
    <row r="17" spans="1:4" x14ac:dyDescent="0.2">
      <c r="A17" s="20" t="s">
        <v>5</v>
      </c>
      <c r="B17" s="23">
        <f>COLETOR!B16</f>
        <v>81</v>
      </c>
      <c r="C17" s="11" t="s">
        <v>221</v>
      </c>
    </row>
    <row r="18" spans="1:4" x14ac:dyDescent="0.2">
      <c r="A18" s="20" t="s">
        <v>6</v>
      </c>
      <c r="B18" s="21">
        <f>+B16+(B16*B17/100)</f>
        <v>3172.2145974999994</v>
      </c>
      <c r="C18" s="11" t="s">
        <v>130</v>
      </c>
    </row>
    <row r="20" spans="1:4" x14ac:dyDescent="0.2">
      <c r="A20" s="19" t="s">
        <v>90</v>
      </c>
    </row>
    <row r="21" spans="1:4" x14ac:dyDescent="0.2">
      <c r="A21" s="11" t="s">
        <v>7</v>
      </c>
      <c r="C21" s="16"/>
      <c r="D21" s="16"/>
    </row>
    <row r="22" spans="1:4" x14ac:dyDescent="0.2">
      <c r="A22" s="20" t="s">
        <v>111</v>
      </c>
      <c r="B22" s="21">
        <f>B23+B24+B25+B26</f>
        <v>105.54283333333333</v>
      </c>
      <c r="C22" s="16" t="s">
        <v>130</v>
      </c>
      <c r="D22" s="16"/>
    </row>
    <row r="23" spans="1:4" x14ac:dyDescent="0.2">
      <c r="A23" s="20" t="s">
        <v>156</v>
      </c>
      <c r="B23" s="21">
        <f>'ENC I'!B23</f>
        <v>95</v>
      </c>
      <c r="C23" s="16" t="s">
        <v>130</v>
      </c>
      <c r="D23" s="16"/>
    </row>
    <row r="24" spans="1:4" x14ac:dyDescent="0.2">
      <c r="A24" s="20" t="s">
        <v>203</v>
      </c>
      <c r="B24" s="21">
        <f>'ENC I'!B24</f>
        <v>10.542833333333332</v>
      </c>
      <c r="C24" s="16" t="s">
        <v>130</v>
      </c>
      <c r="D24" s="16"/>
    </row>
    <row r="25" spans="1:4" x14ac:dyDescent="0.2">
      <c r="A25" s="22" t="s">
        <v>157</v>
      </c>
      <c r="B25" s="21">
        <f>'ENC I'!B25</f>
        <v>0</v>
      </c>
      <c r="C25" s="16"/>
      <c r="D25" s="16"/>
    </row>
    <row r="26" spans="1:4" x14ac:dyDescent="0.2">
      <c r="A26" s="22" t="s">
        <v>158</v>
      </c>
      <c r="B26" s="21">
        <f>'ENC I'!B26</f>
        <v>0</v>
      </c>
      <c r="C26" s="16"/>
      <c r="D26" s="16"/>
    </row>
    <row r="27" spans="1:4" x14ac:dyDescent="0.2">
      <c r="A27" s="22" t="s">
        <v>228</v>
      </c>
      <c r="B27" s="24">
        <f>DADOS!D18</f>
        <v>373.56</v>
      </c>
      <c r="C27" s="16" t="s">
        <v>130</v>
      </c>
    </row>
    <row r="28" spans="1:4" x14ac:dyDescent="0.2">
      <c r="A28" s="22" t="s">
        <v>169</v>
      </c>
      <c r="B28" s="24"/>
      <c r="C28" s="16" t="s">
        <v>130</v>
      </c>
    </row>
    <row r="29" spans="1:4" x14ac:dyDescent="0.2">
      <c r="A29" s="22" t="s">
        <v>538</v>
      </c>
      <c r="B29" s="24">
        <f>COLETOR!B29</f>
        <v>78.59</v>
      </c>
      <c r="C29" s="11" t="s">
        <v>130</v>
      </c>
    </row>
    <row r="30" spans="1:4" x14ac:dyDescent="0.2">
      <c r="A30" s="22" t="s">
        <v>354</v>
      </c>
      <c r="B30" s="24">
        <f>B27+B22+B28+B29</f>
        <v>557.6928333333334</v>
      </c>
      <c r="C30" s="16" t="s">
        <v>130</v>
      </c>
    </row>
    <row r="32" spans="1:4" x14ac:dyDescent="0.2">
      <c r="A32" s="25" t="s">
        <v>9</v>
      </c>
      <c r="B32" s="26">
        <f>B30+B18</f>
        <v>3729.9074308333329</v>
      </c>
      <c r="C32" s="31" t="s">
        <v>130</v>
      </c>
    </row>
    <row r="33" spans="1:3" hidden="1" x14ac:dyDescent="0.2">
      <c r="A33" s="28" t="s">
        <v>302</v>
      </c>
      <c r="B33" s="26">
        <f>B32/220</f>
        <v>16.954124685606057</v>
      </c>
      <c r="C33" s="31" t="s">
        <v>296</v>
      </c>
    </row>
    <row r="34" spans="1:3" x14ac:dyDescent="0.2">
      <c r="A34" s="32"/>
      <c r="B34" s="33"/>
    </row>
    <row r="35" spans="1:3" x14ac:dyDescent="0.2">
      <c r="A35" s="17" t="str">
        <f>A9</f>
        <v>COMPOSIÇÃO AUXILIAR - VIGIA</v>
      </c>
    </row>
    <row r="37" spans="1:3" x14ac:dyDescent="0.2">
      <c r="A37" s="19" t="s">
        <v>1</v>
      </c>
    </row>
    <row r="39" spans="1:3" x14ac:dyDescent="0.2">
      <c r="A39" s="20" t="s">
        <v>352</v>
      </c>
      <c r="B39" s="21">
        <f>+B14</f>
        <v>1752.6047499999997</v>
      </c>
      <c r="C39" s="11" t="s">
        <v>130</v>
      </c>
    </row>
    <row r="40" spans="1:3" x14ac:dyDescent="0.2">
      <c r="A40" s="20" t="s">
        <v>300</v>
      </c>
      <c r="B40" s="21"/>
      <c r="C40" s="11" t="s">
        <v>130</v>
      </c>
    </row>
    <row r="41" spans="1:3" x14ac:dyDescent="0.2">
      <c r="A41" s="20" t="s">
        <v>301</v>
      </c>
      <c r="B41" s="21">
        <f>+(B39+B40)/220*0.2*110</f>
        <v>175.26047499999999</v>
      </c>
      <c r="C41" s="11" t="s">
        <v>130</v>
      </c>
    </row>
    <row r="42" spans="1:3" x14ac:dyDescent="0.2">
      <c r="A42" s="22" t="s">
        <v>176</v>
      </c>
      <c r="B42" s="21">
        <f>+B41+B39+B40</f>
        <v>1927.8652249999998</v>
      </c>
      <c r="C42" s="11" t="s">
        <v>130</v>
      </c>
    </row>
    <row r="43" spans="1:3" x14ac:dyDescent="0.2">
      <c r="A43" s="20" t="s">
        <v>177</v>
      </c>
      <c r="B43" s="23">
        <f>B17</f>
        <v>81</v>
      </c>
      <c r="C43" s="11" t="s">
        <v>221</v>
      </c>
    </row>
    <row r="44" spans="1:3" x14ac:dyDescent="0.2">
      <c r="A44" s="20" t="s">
        <v>178</v>
      </c>
      <c r="B44" s="21">
        <f>+B42+(B42*B43/100)</f>
        <v>3489.4360572499995</v>
      </c>
      <c r="C44" s="11" t="s">
        <v>130</v>
      </c>
    </row>
    <row r="46" spans="1:3" x14ac:dyDescent="0.2">
      <c r="A46" s="19" t="s">
        <v>90</v>
      </c>
    </row>
    <row r="47" spans="1:3" x14ac:dyDescent="0.2">
      <c r="A47" s="11" t="s">
        <v>7</v>
      </c>
    </row>
    <row r="48" spans="1:3" x14ac:dyDescent="0.2">
      <c r="A48" s="20" t="s">
        <v>111</v>
      </c>
      <c r="B48" s="21">
        <f>B22</f>
        <v>105.54283333333333</v>
      </c>
      <c r="C48" s="11" t="s">
        <v>130</v>
      </c>
    </row>
    <row r="49" spans="1:3" x14ac:dyDescent="0.2">
      <c r="A49" s="20" t="s">
        <v>156</v>
      </c>
      <c r="B49" s="21">
        <f>B23</f>
        <v>95</v>
      </c>
      <c r="C49" s="11" t="s">
        <v>130</v>
      </c>
    </row>
    <row r="50" spans="1:3" x14ac:dyDescent="0.2">
      <c r="A50" s="20" t="s">
        <v>203</v>
      </c>
      <c r="B50" s="21">
        <f>B24</f>
        <v>10.542833333333332</v>
      </c>
      <c r="C50" s="11" t="s">
        <v>130</v>
      </c>
    </row>
    <row r="51" spans="1:3" x14ac:dyDescent="0.2">
      <c r="A51" s="22" t="s">
        <v>157</v>
      </c>
      <c r="B51" s="21" t="e">
        <f>#REF!</f>
        <v>#REF!</v>
      </c>
      <c r="C51" s="11" t="s">
        <v>130</v>
      </c>
    </row>
    <row r="52" spans="1:3" x14ac:dyDescent="0.2">
      <c r="A52" s="22" t="s">
        <v>158</v>
      </c>
      <c r="B52" s="21">
        <v>0</v>
      </c>
      <c r="C52" s="11" t="s">
        <v>130</v>
      </c>
    </row>
    <row r="53" spans="1:3" x14ac:dyDescent="0.2">
      <c r="A53" s="22" t="s">
        <v>228</v>
      </c>
      <c r="B53" s="24">
        <f>+B27</f>
        <v>373.56</v>
      </c>
      <c r="C53" s="11" t="s">
        <v>130</v>
      </c>
    </row>
    <row r="54" spans="1:3" x14ac:dyDescent="0.2">
      <c r="A54" s="22" t="s">
        <v>169</v>
      </c>
      <c r="B54" s="24"/>
      <c r="C54" s="11" t="s">
        <v>130</v>
      </c>
    </row>
    <row r="55" spans="1:3" x14ac:dyDescent="0.2">
      <c r="A55" s="22" t="s">
        <v>538</v>
      </c>
      <c r="B55" s="24">
        <f>VIGIA!B29</f>
        <v>78.59</v>
      </c>
      <c r="C55" s="11" t="s">
        <v>130</v>
      </c>
    </row>
    <row r="56" spans="1:3" x14ac:dyDescent="0.2">
      <c r="A56" s="22" t="s">
        <v>354</v>
      </c>
      <c r="B56" s="24">
        <f>B53+B48+B54+B55</f>
        <v>557.6928333333334</v>
      </c>
      <c r="C56" s="11" t="s">
        <v>130</v>
      </c>
    </row>
    <row r="57" spans="1:3" x14ac:dyDescent="0.2">
      <c r="A57" s="34"/>
      <c r="B57" s="34"/>
      <c r="C57" s="34"/>
    </row>
    <row r="58" spans="1:3" x14ac:dyDescent="0.2">
      <c r="A58" s="25" t="s">
        <v>9</v>
      </c>
      <c r="B58" s="26">
        <f>B56+B44</f>
        <v>4047.128890583333</v>
      </c>
      <c r="C58" s="29" t="s">
        <v>130</v>
      </c>
    </row>
    <row r="59" spans="1:3" hidden="1" x14ac:dyDescent="0.2">
      <c r="A59" s="28" t="s">
        <v>302</v>
      </c>
      <c r="B59" s="26">
        <f>B58/220</f>
        <v>18.396040411742423</v>
      </c>
      <c r="C59" s="31" t="s">
        <v>296</v>
      </c>
    </row>
  </sheetData>
  <mergeCells count="3">
    <mergeCell ref="A1:B1"/>
    <mergeCell ref="A2:B2"/>
    <mergeCell ref="A7:B7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DFDE-8EDF-4410-A1F2-AAD5A34750FC}">
  <dimension ref="A1:F59"/>
  <sheetViews>
    <sheetView view="pageBreakPreview" topLeftCell="A24" zoomScaleNormal="100" zoomScaleSheetLayoutView="100" workbookViewId="0">
      <selection activeCell="C25" sqref="C25"/>
    </sheetView>
  </sheetViews>
  <sheetFormatPr defaultColWidth="12" defaultRowHeight="12.75" x14ac:dyDescent="0.2"/>
  <cols>
    <col min="1" max="1" width="62.1640625" style="11" customWidth="1"/>
    <col min="2" max="2" width="18.33203125" style="11" customWidth="1"/>
    <col min="3" max="3" width="11" style="11" customWidth="1"/>
    <col min="4" max="16384" width="12" style="11"/>
  </cols>
  <sheetData>
    <row r="1" spans="1:6" ht="18.75" hidden="1" x14ac:dyDescent="0.3">
      <c r="A1" s="335" t="s">
        <v>215</v>
      </c>
      <c r="B1" s="335"/>
      <c r="C1" s="9"/>
      <c r="D1" s="9"/>
      <c r="E1" s="9"/>
      <c r="F1" s="10"/>
    </row>
    <row r="2" spans="1:6" ht="18" hidden="1" customHeight="1" x14ac:dyDescent="0.25">
      <c r="A2" s="335"/>
      <c r="B2" s="335"/>
      <c r="C2" s="9"/>
      <c r="D2" s="9"/>
      <c r="E2" s="9"/>
      <c r="F2" s="12"/>
    </row>
    <row r="3" spans="1:6" hidden="1" x14ac:dyDescent="0.2">
      <c r="A3" s="13"/>
      <c r="B3" s="13"/>
      <c r="C3" s="13"/>
      <c r="D3" s="13"/>
      <c r="E3" s="13"/>
      <c r="F3" s="13"/>
    </row>
    <row r="4" spans="1:6" hidden="1" x14ac:dyDescent="0.2">
      <c r="A4" s="13"/>
      <c r="B4" s="13"/>
      <c r="C4" s="13"/>
      <c r="D4" s="13"/>
      <c r="E4" s="13"/>
      <c r="F4" s="13"/>
    </row>
    <row r="5" spans="1:6" hidden="1" x14ac:dyDescent="0.2">
      <c r="A5" s="14" t="s">
        <v>187</v>
      </c>
      <c r="B5" s="14" t="s">
        <v>211</v>
      </c>
      <c r="C5" s="13"/>
      <c r="E5" s="13"/>
      <c r="F5" s="13"/>
    </row>
    <row r="6" spans="1:6" x14ac:dyDescent="0.2">
      <c r="A6" s="12"/>
      <c r="B6" s="13"/>
      <c r="C6" s="13"/>
      <c r="D6" s="13"/>
      <c r="E6" s="13"/>
    </row>
    <row r="7" spans="1:6" x14ac:dyDescent="0.2">
      <c r="A7" s="336" t="s">
        <v>0</v>
      </c>
      <c r="B7" s="336"/>
      <c r="C7" s="15"/>
      <c r="D7" s="15"/>
      <c r="E7" s="15"/>
    </row>
    <row r="8" spans="1:6" x14ac:dyDescent="0.2">
      <c r="A8" s="16"/>
      <c r="B8" s="16"/>
    </row>
    <row r="9" spans="1:6" x14ac:dyDescent="0.2">
      <c r="A9" s="17" t="s">
        <v>652</v>
      </c>
      <c r="B9" s="18"/>
    </row>
    <row r="10" spans="1:6" x14ac:dyDescent="0.2">
      <c r="A10" s="16"/>
      <c r="B10" s="16"/>
    </row>
    <row r="12" spans="1:6" x14ac:dyDescent="0.2">
      <c r="A12" s="19" t="s">
        <v>1</v>
      </c>
    </row>
    <row r="14" spans="1:6" x14ac:dyDescent="0.2">
      <c r="A14" s="20" t="s">
        <v>352</v>
      </c>
      <c r="B14" s="21">
        <f>DADOS!D4*1.25</f>
        <v>1897.5</v>
      </c>
      <c r="C14" s="11" t="s">
        <v>130</v>
      </c>
    </row>
    <row r="15" spans="1:6" x14ac:dyDescent="0.2">
      <c r="A15" s="20" t="s">
        <v>190</v>
      </c>
      <c r="B15" s="30"/>
      <c r="C15" s="11" t="s">
        <v>130</v>
      </c>
    </row>
    <row r="16" spans="1:6" x14ac:dyDescent="0.2">
      <c r="A16" s="22" t="s">
        <v>4</v>
      </c>
      <c r="B16" s="21">
        <f>B14+B15</f>
        <v>1897.5</v>
      </c>
      <c r="C16" s="11" t="s">
        <v>130</v>
      </c>
    </row>
    <row r="17" spans="1:4" x14ac:dyDescent="0.2">
      <c r="A17" s="20" t="s">
        <v>5</v>
      </c>
      <c r="B17" s="23"/>
      <c r="C17" s="11" t="s">
        <v>221</v>
      </c>
    </row>
    <row r="18" spans="1:4" x14ac:dyDescent="0.2">
      <c r="A18" s="20" t="s">
        <v>6</v>
      </c>
      <c r="B18" s="21">
        <f>+B16+(B16*B17/100)</f>
        <v>1897.5</v>
      </c>
      <c r="C18" s="11" t="s">
        <v>130</v>
      </c>
    </row>
    <row r="20" spans="1:4" x14ac:dyDescent="0.2">
      <c r="A20" s="19" t="s">
        <v>90</v>
      </c>
    </row>
    <row r="21" spans="1:4" x14ac:dyDescent="0.2">
      <c r="A21" s="11" t="s">
        <v>7</v>
      </c>
      <c r="C21" s="16"/>
      <c r="D21" s="16"/>
    </row>
    <row r="22" spans="1:4" x14ac:dyDescent="0.2">
      <c r="A22" s="20" t="s">
        <v>111</v>
      </c>
      <c r="B22" s="21">
        <f>B23+B24+B25+B26</f>
        <v>105.54283333333333</v>
      </c>
      <c r="C22" s="16" t="s">
        <v>130</v>
      </c>
      <c r="D22" s="16"/>
    </row>
    <row r="23" spans="1:4" x14ac:dyDescent="0.2">
      <c r="A23" s="20" t="s">
        <v>156</v>
      </c>
      <c r="B23" s="21">
        <f>'ENC I'!B23</f>
        <v>95</v>
      </c>
      <c r="C23" s="16" t="s">
        <v>130</v>
      </c>
      <c r="D23" s="16"/>
    </row>
    <row r="24" spans="1:4" x14ac:dyDescent="0.2">
      <c r="A24" s="20" t="s">
        <v>203</v>
      </c>
      <c r="B24" s="21">
        <f>'ENC I'!B24</f>
        <v>10.542833333333332</v>
      </c>
      <c r="C24" s="16" t="s">
        <v>130</v>
      </c>
      <c r="D24" s="16"/>
    </row>
    <row r="25" spans="1:4" x14ac:dyDescent="0.2">
      <c r="A25" s="22" t="s">
        <v>157</v>
      </c>
      <c r="B25" s="21">
        <f>'ENC I'!B25</f>
        <v>0</v>
      </c>
      <c r="C25" s="16" t="s">
        <v>130</v>
      </c>
      <c r="D25" s="16"/>
    </row>
    <row r="26" spans="1:4" x14ac:dyDescent="0.2">
      <c r="A26" s="22" t="s">
        <v>158</v>
      </c>
      <c r="B26" s="21">
        <f>'ENC I'!B26</f>
        <v>0</v>
      </c>
      <c r="C26" s="16" t="s">
        <v>130</v>
      </c>
      <c r="D26" s="16"/>
    </row>
    <row r="27" spans="1:4" x14ac:dyDescent="0.2">
      <c r="A27" s="22" t="s">
        <v>228</v>
      </c>
      <c r="B27" s="24">
        <f>DADOS!D18</f>
        <v>373.56</v>
      </c>
      <c r="C27" s="16" t="s">
        <v>130</v>
      </c>
    </row>
    <row r="28" spans="1:4" x14ac:dyDescent="0.2">
      <c r="A28" s="22" t="s">
        <v>169</v>
      </c>
      <c r="B28" s="24"/>
      <c r="C28" s="16" t="s">
        <v>130</v>
      </c>
    </row>
    <row r="29" spans="1:4" x14ac:dyDescent="0.2">
      <c r="A29" s="22" t="s">
        <v>538</v>
      </c>
      <c r="B29" s="24">
        <f>COLETOR!B29</f>
        <v>78.59</v>
      </c>
      <c r="C29" s="11" t="s">
        <v>130</v>
      </c>
    </row>
    <row r="30" spans="1:4" x14ac:dyDescent="0.2">
      <c r="A30" s="22" t="s">
        <v>354</v>
      </c>
      <c r="B30" s="24">
        <f>B27+B22+B28+B29</f>
        <v>557.6928333333334</v>
      </c>
      <c r="C30" s="16" t="s">
        <v>130</v>
      </c>
    </row>
    <row r="32" spans="1:4" x14ac:dyDescent="0.2">
      <c r="A32" s="25" t="s">
        <v>9</v>
      </c>
      <c r="B32" s="26">
        <f>B30+B18</f>
        <v>2455.1928333333335</v>
      </c>
      <c r="C32" s="31" t="s">
        <v>130</v>
      </c>
    </row>
    <row r="33" spans="1:3" hidden="1" x14ac:dyDescent="0.2">
      <c r="A33" s="28" t="s">
        <v>302</v>
      </c>
      <c r="B33" s="26">
        <f>B32/220</f>
        <v>11.159967424242424</v>
      </c>
      <c r="C33" s="31" t="s">
        <v>296</v>
      </c>
    </row>
    <row r="34" spans="1:3" x14ac:dyDescent="0.2">
      <c r="A34" s="32"/>
      <c r="B34" s="33"/>
    </row>
    <row r="35" spans="1:3" x14ac:dyDescent="0.2">
      <c r="A35" s="17" t="str">
        <f>A9</f>
        <v>COMPOSIÇÃO AUXILIAR - ESTAGIÁRIO</v>
      </c>
    </row>
    <row r="37" spans="1:3" x14ac:dyDescent="0.2">
      <c r="A37" s="19" t="s">
        <v>1</v>
      </c>
    </row>
    <row r="39" spans="1:3" x14ac:dyDescent="0.2">
      <c r="A39" s="20" t="s">
        <v>352</v>
      </c>
      <c r="B39" s="21">
        <f>+B14</f>
        <v>1897.5</v>
      </c>
      <c r="C39" s="11" t="s">
        <v>130</v>
      </c>
    </row>
    <row r="40" spans="1:3" x14ac:dyDescent="0.2">
      <c r="A40" s="20" t="s">
        <v>300</v>
      </c>
      <c r="B40" s="21"/>
      <c r="C40" s="11" t="s">
        <v>130</v>
      </c>
    </row>
    <row r="41" spans="1:3" x14ac:dyDescent="0.2">
      <c r="A41" s="20" t="s">
        <v>301</v>
      </c>
      <c r="B41" s="21">
        <f>+(B39+B40)/220*0.2*110</f>
        <v>189.75</v>
      </c>
      <c r="C41" s="11" t="s">
        <v>130</v>
      </c>
    </row>
    <row r="42" spans="1:3" x14ac:dyDescent="0.2">
      <c r="A42" s="22" t="s">
        <v>176</v>
      </c>
      <c r="B42" s="21">
        <f>+B41+B39+B40</f>
        <v>2087.25</v>
      </c>
      <c r="C42" s="11" t="s">
        <v>130</v>
      </c>
    </row>
    <row r="43" spans="1:3" x14ac:dyDescent="0.2">
      <c r="A43" s="20" t="s">
        <v>177</v>
      </c>
      <c r="B43" s="23">
        <f>B17</f>
        <v>0</v>
      </c>
      <c r="C43" s="11" t="s">
        <v>221</v>
      </c>
    </row>
    <row r="44" spans="1:3" x14ac:dyDescent="0.2">
      <c r="A44" s="20" t="s">
        <v>178</v>
      </c>
      <c r="B44" s="21">
        <f>+B42+(B42*B43/100)</f>
        <v>2087.25</v>
      </c>
      <c r="C44" s="11" t="s">
        <v>130</v>
      </c>
    </row>
    <row r="46" spans="1:3" x14ac:dyDescent="0.2">
      <c r="A46" s="19" t="s">
        <v>90</v>
      </c>
    </row>
    <row r="47" spans="1:3" x14ac:dyDescent="0.2">
      <c r="A47" s="11" t="s">
        <v>7</v>
      </c>
    </row>
    <row r="48" spans="1:3" x14ac:dyDescent="0.2">
      <c r="A48" s="20" t="s">
        <v>111</v>
      </c>
      <c r="B48" s="21">
        <f>B22</f>
        <v>105.54283333333333</v>
      </c>
      <c r="C48" s="11" t="s">
        <v>130</v>
      </c>
    </row>
    <row r="49" spans="1:3" x14ac:dyDescent="0.2">
      <c r="A49" s="20" t="s">
        <v>156</v>
      </c>
      <c r="B49" s="21">
        <f>B23</f>
        <v>95</v>
      </c>
      <c r="C49" s="11" t="s">
        <v>130</v>
      </c>
    </row>
    <row r="50" spans="1:3" x14ac:dyDescent="0.2">
      <c r="A50" s="20" t="s">
        <v>203</v>
      </c>
      <c r="B50" s="21">
        <f>B24</f>
        <v>10.542833333333332</v>
      </c>
      <c r="C50" s="11" t="s">
        <v>130</v>
      </c>
    </row>
    <row r="51" spans="1:3" x14ac:dyDescent="0.2">
      <c r="A51" s="22" t="s">
        <v>157</v>
      </c>
      <c r="B51" s="21" t="e">
        <f>#REF!</f>
        <v>#REF!</v>
      </c>
    </row>
    <row r="52" spans="1:3" x14ac:dyDescent="0.2">
      <c r="A52" s="22" t="s">
        <v>158</v>
      </c>
      <c r="B52" s="21">
        <v>0</v>
      </c>
    </row>
    <row r="53" spans="1:3" x14ac:dyDescent="0.2">
      <c r="A53" s="22" t="s">
        <v>228</v>
      </c>
      <c r="B53" s="24">
        <f>+B27</f>
        <v>373.56</v>
      </c>
      <c r="C53" s="11" t="s">
        <v>130</v>
      </c>
    </row>
    <row r="54" spans="1:3" x14ac:dyDescent="0.2">
      <c r="A54" s="22" t="s">
        <v>169</v>
      </c>
      <c r="B54" s="24"/>
      <c r="C54" s="11" t="s">
        <v>130</v>
      </c>
    </row>
    <row r="55" spans="1:3" x14ac:dyDescent="0.2">
      <c r="A55" s="22" t="s">
        <v>538</v>
      </c>
      <c r="B55" s="24">
        <f>VIGIA!B29</f>
        <v>78.59</v>
      </c>
      <c r="C55" s="11" t="s">
        <v>130</v>
      </c>
    </row>
    <row r="56" spans="1:3" x14ac:dyDescent="0.2">
      <c r="A56" s="22" t="s">
        <v>354</v>
      </c>
      <c r="B56" s="24">
        <f>B53+B48+B54+B55</f>
        <v>557.6928333333334</v>
      </c>
      <c r="C56" s="11" t="s">
        <v>130</v>
      </c>
    </row>
    <row r="57" spans="1:3" x14ac:dyDescent="0.2">
      <c r="A57" s="34"/>
      <c r="B57" s="34"/>
      <c r="C57" s="34"/>
    </row>
    <row r="58" spans="1:3" x14ac:dyDescent="0.2">
      <c r="A58" s="25" t="s">
        <v>9</v>
      </c>
      <c r="B58" s="26">
        <f>B56+B44</f>
        <v>2644.9428333333335</v>
      </c>
      <c r="C58" s="29" t="s">
        <v>130</v>
      </c>
    </row>
    <row r="59" spans="1:3" hidden="1" x14ac:dyDescent="0.2">
      <c r="A59" s="28" t="s">
        <v>302</v>
      </c>
      <c r="B59" s="26">
        <f>B58/220</f>
        <v>12.022467424242425</v>
      </c>
      <c r="C59" s="31" t="s">
        <v>296</v>
      </c>
    </row>
  </sheetData>
  <mergeCells count="3">
    <mergeCell ref="A1:B1"/>
    <mergeCell ref="A2:B2"/>
    <mergeCell ref="A7:B7"/>
  </mergeCells>
  <printOptions horizontalCentered="1"/>
  <pageMargins left="0.78740157480314965" right="0.78740157480314965" top="0.98425196850393704" bottom="0.98425196850393704" header="0.31496062992125984" footer="0.27559055118110237"/>
  <pageSetup paperSize="9" orientation="portrait" r:id="rId1"/>
  <headerFooter>
    <oddHeader>&amp;L&amp;G</oddHeader>
    <oddFooter>&amp;C&amp;"Calibri,Regular"&amp;8CNPJ: 41.244.542/0001-97
Cabo Corporate Center – Torre Aníbal Cardoso 
Rua Cento e Sessenta e Três, 226 – sala 405  -  Cabo de Santo Agostinho– PE  - CEP:  54518-430  
Tel.: (81) 3076-0018  / e-mail: nrjambiental05@gmail.com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3226-E2A2-4052-A387-218B7312ACC2}">
  <dimension ref="A1:O66"/>
  <sheetViews>
    <sheetView view="pageBreakPreview" topLeftCell="A26" zoomScaleNormal="100" zoomScaleSheetLayoutView="100" workbookViewId="0">
      <selection activeCell="W26" sqref="W26"/>
    </sheetView>
  </sheetViews>
  <sheetFormatPr defaultColWidth="12" defaultRowHeight="12.75" x14ac:dyDescent="0.2"/>
  <cols>
    <col min="1" max="1" width="60.83203125" style="11" customWidth="1"/>
    <col min="2" max="2" width="18.83203125" style="11" customWidth="1"/>
    <col min="3" max="3" width="10.1640625" style="11" customWidth="1"/>
    <col min="4" max="4" width="12" style="11"/>
    <col min="5" max="5" width="19.6640625" style="11" hidden="1" customWidth="1"/>
    <col min="6" max="6" width="15.1640625" style="11" hidden="1" customWidth="1"/>
    <col min="7" max="7" width="14" style="59" hidden="1" customWidth="1"/>
    <col min="8" max="16" width="0" style="11" hidden="1" customWidth="1"/>
    <col min="17" max="16384" width="12" style="11"/>
  </cols>
  <sheetData>
    <row r="1" spans="1:15" ht="18.75" hidden="1" x14ac:dyDescent="0.3">
      <c r="A1" s="335" t="s">
        <v>215</v>
      </c>
      <c r="B1" s="335"/>
      <c r="C1" s="9"/>
      <c r="D1" s="9"/>
      <c r="E1" s="9"/>
      <c r="F1" s="10"/>
    </row>
    <row r="2" spans="1:15" ht="18" hidden="1" customHeight="1" x14ac:dyDescent="0.25">
      <c r="A2" s="335"/>
      <c r="B2" s="335"/>
      <c r="C2" s="9"/>
      <c r="D2" s="9"/>
      <c r="E2" s="9"/>
      <c r="F2" s="12"/>
    </row>
    <row r="3" spans="1:15" hidden="1" x14ac:dyDescent="0.2">
      <c r="A3" s="13"/>
      <c r="B3" s="13"/>
      <c r="C3" s="13"/>
      <c r="D3" s="13"/>
      <c r="E3" s="13"/>
      <c r="F3" s="13"/>
    </row>
    <row r="4" spans="1:15" hidden="1" x14ac:dyDescent="0.2">
      <c r="A4" s="14" t="s">
        <v>217</v>
      </c>
      <c r="B4" s="14" t="s">
        <v>211</v>
      </c>
      <c r="C4" s="13"/>
      <c r="E4" s="13"/>
      <c r="F4" s="13"/>
    </row>
    <row r="5" spans="1:15" x14ac:dyDescent="0.2">
      <c r="A5" s="12"/>
      <c r="B5" s="13"/>
      <c r="C5" s="13"/>
      <c r="D5" s="13"/>
      <c r="E5" s="13"/>
    </row>
    <row r="6" spans="1:15" x14ac:dyDescent="0.2">
      <c r="A6" s="336" t="s">
        <v>0</v>
      </c>
      <c r="B6" s="336"/>
      <c r="C6" s="15"/>
      <c r="D6" s="15"/>
      <c r="E6" s="15"/>
    </row>
    <row r="7" spans="1:15" x14ac:dyDescent="0.2">
      <c r="A7" s="16"/>
      <c r="B7" s="16"/>
    </row>
    <row r="8" spans="1:15" x14ac:dyDescent="0.2">
      <c r="A8" s="337" t="s">
        <v>674</v>
      </c>
      <c r="B8" s="337"/>
    </row>
    <row r="10" spans="1:15" x14ac:dyDescent="0.2">
      <c r="A10" s="34" t="s">
        <v>15</v>
      </c>
    </row>
    <row r="12" spans="1:15" x14ac:dyDescent="0.2">
      <c r="A12" s="20" t="s">
        <v>152</v>
      </c>
      <c r="B12" s="21">
        <f>G14</f>
        <v>331625</v>
      </c>
      <c r="C12" s="11" t="s">
        <v>37</v>
      </c>
      <c r="E12" s="1" t="s">
        <v>675</v>
      </c>
      <c r="F12" s="1" t="s">
        <v>225</v>
      </c>
      <c r="G12" s="65">
        <v>331625</v>
      </c>
      <c r="I12" t="s">
        <v>522</v>
      </c>
      <c r="J12" t="s">
        <v>523</v>
      </c>
      <c r="K12" s="185" t="s">
        <v>524</v>
      </c>
      <c r="L12" t="s">
        <v>525</v>
      </c>
      <c r="M12" t="s">
        <v>526</v>
      </c>
    </row>
    <row r="13" spans="1:15" x14ac:dyDescent="0.2">
      <c r="A13" s="20" t="s">
        <v>16</v>
      </c>
      <c r="B13" s="21">
        <v>60</v>
      </c>
      <c r="C13" s="11" t="s">
        <v>55</v>
      </c>
      <c r="F13" s="11" t="s">
        <v>227</v>
      </c>
      <c r="I13">
        <v>1</v>
      </c>
      <c r="J13" s="185">
        <f>$G$14</f>
        <v>331625</v>
      </c>
      <c r="K13" s="185">
        <f>SLN($G$14,$B$15,$G$15)</f>
        <v>53060</v>
      </c>
      <c r="L13" s="185">
        <f>K13</f>
        <v>53060</v>
      </c>
      <c r="M13" s="185">
        <f>J13-L13</f>
        <v>278565</v>
      </c>
      <c r="O13" s="59">
        <f>(G19/G14)*100</f>
        <v>0</v>
      </c>
    </row>
    <row r="14" spans="1:15" x14ac:dyDescent="0.2">
      <c r="A14" s="20" t="s">
        <v>17</v>
      </c>
      <c r="B14" s="60">
        <v>0.2</v>
      </c>
      <c r="G14" s="59">
        <f>G12+G13</f>
        <v>331625</v>
      </c>
      <c r="I14">
        <v>2</v>
      </c>
      <c r="J14" s="185">
        <f>$G$14</f>
        <v>331625</v>
      </c>
      <c r="K14" s="185">
        <f>SLN($G$14,$B$15,$G$15)</f>
        <v>53060</v>
      </c>
      <c r="L14" s="185">
        <f>K14+L13</f>
        <v>106120</v>
      </c>
      <c r="M14" s="185">
        <f>J14-L14</f>
        <v>225505</v>
      </c>
      <c r="O14" s="59">
        <f>($G$19/M13)*100</f>
        <v>0</v>
      </c>
    </row>
    <row r="15" spans="1:15" x14ac:dyDescent="0.2">
      <c r="A15" s="20" t="s">
        <v>224</v>
      </c>
      <c r="B15" s="23">
        <f>G14*B14</f>
        <v>66325</v>
      </c>
      <c r="G15" s="59">
        <v>5</v>
      </c>
      <c r="I15">
        <v>3</v>
      </c>
      <c r="J15" s="185">
        <f>$G$14</f>
        <v>331625</v>
      </c>
      <c r="K15" s="185">
        <f>SLN($G$14,$B$15,$G$15)</f>
        <v>53060</v>
      </c>
      <c r="L15" s="185">
        <f>K15+L14</f>
        <v>159180</v>
      </c>
      <c r="M15" s="185">
        <f>J15-L15</f>
        <v>172445</v>
      </c>
      <c r="O15" s="59">
        <f>($G$19/M14)*100</f>
        <v>0</v>
      </c>
    </row>
    <row r="16" spans="1:15" x14ac:dyDescent="0.2">
      <c r="A16" s="11" t="s">
        <v>223</v>
      </c>
      <c r="B16" s="21">
        <f>(B12-B15)/B13</f>
        <v>4421.666666666667</v>
      </c>
      <c r="C16" s="11" t="s">
        <v>130</v>
      </c>
      <c r="G16" s="59">
        <f>G14/G12</f>
        <v>1</v>
      </c>
      <c r="I16">
        <v>4</v>
      </c>
      <c r="J16" s="185">
        <f>$G$14</f>
        <v>331625</v>
      </c>
      <c r="K16" s="185">
        <f>SLN($G$14,$B$15,$G$15)</f>
        <v>53060</v>
      </c>
      <c r="L16" s="185">
        <f>K16+L15</f>
        <v>212240</v>
      </c>
      <c r="M16" s="185">
        <f>J16-L16</f>
        <v>119385</v>
      </c>
      <c r="O16" s="59">
        <f>($G$19/M15)*100</f>
        <v>0</v>
      </c>
    </row>
    <row r="17" spans="1:15" x14ac:dyDescent="0.2">
      <c r="I17">
        <v>5</v>
      </c>
      <c r="J17" s="185">
        <f>$G$14</f>
        <v>331625</v>
      </c>
      <c r="K17" s="185">
        <f>SLN($G$14,$B$15,$G$15)</f>
        <v>53060</v>
      </c>
      <c r="L17" s="185">
        <f>K17+L16</f>
        <v>265300</v>
      </c>
      <c r="M17" s="185">
        <f>J17-L17</f>
        <v>66325</v>
      </c>
      <c r="O17" s="59">
        <f>($G$19/M16)*100</f>
        <v>0</v>
      </c>
    </row>
    <row r="18" spans="1:15" x14ac:dyDescent="0.2">
      <c r="A18" s="19" t="s">
        <v>18</v>
      </c>
      <c r="O18" s="59">
        <f>($G$19/M17)*100</f>
        <v>0</v>
      </c>
    </row>
    <row r="20" spans="1:15" x14ac:dyDescent="0.2">
      <c r="A20" s="61" t="s">
        <v>19</v>
      </c>
      <c r="B20" s="16">
        <f>+B12</f>
        <v>331625</v>
      </c>
      <c r="C20" s="11" t="s">
        <v>37</v>
      </c>
      <c r="E20" s="67"/>
    </row>
    <row r="21" spans="1:15" x14ac:dyDescent="0.2">
      <c r="A21" s="61" t="s">
        <v>539</v>
      </c>
      <c r="B21" s="187">
        <v>0.14249999999999999</v>
      </c>
    </row>
    <row r="22" spans="1:15" x14ac:dyDescent="0.2">
      <c r="A22" s="61" t="s">
        <v>21</v>
      </c>
      <c r="B22" s="16">
        <f>((B12-B15)*B21)/12</f>
        <v>3150.4375</v>
      </c>
      <c r="C22" s="11" t="s">
        <v>130</v>
      </c>
    </row>
    <row r="23" spans="1:15" x14ac:dyDescent="0.2">
      <c r="A23" s="16" t="s">
        <v>8</v>
      </c>
      <c r="B23" s="16" t="s">
        <v>8</v>
      </c>
    </row>
    <row r="24" spans="1:15" x14ac:dyDescent="0.2">
      <c r="A24" s="18" t="s">
        <v>22</v>
      </c>
      <c r="B24" s="16" t="s">
        <v>8</v>
      </c>
    </row>
    <row r="26" spans="1:15" x14ac:dyDescent="0.2">
      <c r="A26" s="20" t="s">
        <v>23</v>
      </c>
      <c r="B26" s="21">
        <f>DADOS!D21</f>
        <v>6.24</v>
      </c>
      <c r="C26" s="11" t="s">
        <v>205</v>
      </c>
    </row>
    <row r="27" spans="1:15" x14ac:dyDescent="0.2">
      <c r="A27" s="20" t="s">
        <v>570</v>
      </c>
      <c r="B27" s="21">
        <f>E27*26</f>
        <v>1820</v>
      </c>
      <c r="C27" s="11" t="s">
        <v>207</v>
      </c>
      <c r="E27" s="11">
        <v>70</v>
      </c>
      <c r="I27" s="67"/>
      <c r="K27" s="59"/>
    </row>
    <row r="28" spans="1:15" x14ac:dyDescent="0.2">
      <c r="A28" s="20" t="s">
        <v>24</v>
      </c>
      <c r="B28" s="21">
        <v>8.6999999999999993</v>
      </c>
      <c r="C28" s="11" t="s">
        <v>206</v>
      </c>
      <c r="K28" s="59"/>
      <c r="L28" s="59"/>
    </row>
    <row r="29" spans="1:15" x14ac:dyDescent="0.2">
      <c r="A29" s="22" t="s">
        <v>25</v>
      </c>
      <c r="B29" s="21">
        <f>+(B27/B28)*B26</f>
        <v>1305.3793103448277</v>
      </c>
      <c r="C29" s="11" t="s">
        <v>130</v>
      </c>
      <c r="E29" s="24"/>
      <c r="K29" s="59"/>
    </row>
    <row r="30" spans="1:15" x14ac:dyDescent="0.2">
      <c r="A30" s="20"/>
      <c r="B30" s="21"/>
      <c r="K30" s="59"/>
    </row>
    <row r="31" spans="1:15" x14ac:dyDescent="0.2">
      <c r="A31" s="18" t="s">
        <v>26</v>
      </c>
      <c r="B31" s="16" t="s">
        <v>8</v>
      </c>
      <c r="K31" s="59"/>
    </row>
    <row r="32" spans="1:15" x14ac:dyDescent="0.2">
      <c r="K32" s="59"/>
    </row>
    <row r="33" spans="1:7" x14ac:dyDescent="0.2">
      <c r="A33" s="20" t="s">
        <v>664</v>
      </c>
      <c r="B33" s="21">
        <f>4*889.9</f>
        <v>3559.6</v>
      </c>
      <c r="C33" s="11" t="s">
        <v>37</v>
      </c>
    </row>
    <row r="34" spans="1:7" x14ac:dyDescent="0.2">
      <c r="A34" s="20" t="s">
        <v>27</v>
      </c>
      <c r="B34" s="21">
        <v>50000</v>
      </c>
      <c r="C34" s="11" t="s">
        <v>45</v>
      </c>
    </row>
    <row r="35" spans="1:7" x14ac:dyDescent="0.2">
      <c r="A35" s="20" t="s">
        <v>458</v>
      </c>
      <c r="B35" s="21">
        <f>B27</f>
        <v>1820</v>
      </c>
      <c r="C35" s="11" t="s">
        <v>207</v>
      </c>
    </row>
    <row r="36" spans="1:7" x14ac:dyDescent="0.2">
      <c r="A36" s="20" t="s">
        <v>28</v>
      </c>
      <c r="B36" s="21">
        <f>+(B33*B35)/B34</f>
        <v>129.56943999999999</v>
      </c>
      <c r="C36" s="11" t="s">
        <v>130</v>
      </c>
      <c r="E36" s="24"/>
      <c r="G36" s="233"/>
    </row>
    <row r="37" spans="1:7" x14ac:dyDescent="0.2">
      <c r="A37" s="20"/>
      <c r="B37" s="21"/>
    </row>
    <row r="38" spans="1:7" x14ac:dyDescent="0.2">
      <c r="A38" s="20" t="s">
        <v>29</v>
      </c>
    </row>
    <row r="39" spans="1:7" x14ac:dyDescent="0.2">
      <c r="A39" s="20" t="s">
        <v>7</v>
      </c>
    </row>
    <row r="40" spans="1:7" x14ac:dyDescent="0.2">
      <c r="A40" s="20" t="s">
        <v>30</v>
      </c>
      <c r="B40" s="60">
        <v>0.5</v>
      </c>
      <c r="E40" s="24"/>
    </row>
    <row r="41" spans="1:7" x14ac:dyDescent="0.2">
      <c r="A41" s="20" t="s">
        <v>554</v>
      </c>
      <c r="B41" s="24">
        <f>G14</f>
        <v>331625</v>
      </c>
      <c r="C41" s="11" t="s">
        <v>37</v>
      </c>
    </row>
    <row r="42" spans="1:7" x14ac:dyDescent="0.2">
      <c r="A42" s="20" t="s">
        <v>32</v>
      </c>
      <c r="B42" s="21">
        <v>60</v>
      </c>
      <c r="C42" s="11" t="s">
        <v>55</v>
      </c>
    </row>
    <row r="43" spans="1:7" x14ac:dyDescent="0.2">
      <c r="A43" s="20" t="s">
        <v>33</v>
      </c>
      <c r="B43" s="21">
        <f>+(B40*B41)/B42</f>
        <v>2763.5416666666665</v>
      </c>
      <c r="C43" s="11" t="s">
        <v>130</v>
      </c>
    </row>
    <row r="45" spans="1:7" x14ac:dyDescent="0.2">
      <c r="A45" s="22" t="s">
        <v>74</v>
      </c>
      <c r="B45" s="21"/>
    </row>
    <row r="46" spans="1:7" x14ac:dyDescent="0.2">
      <c r="A46" s="20"/>
      <c r="B46" s="21"/>
    </row>
    <row r="47" spans="1:7" x14ac:dyDescent="0.2">
      <c r="A47" s="22" t="s">
        <v>179</v>
      </c>
      <c r="B47" s="21">
        <f>LUBRIF!B7*((LUBRIF!B4/LUBRIF!B8)+(((1/1000)/1000)))*B27</f>
        <v>28.389998000000002</v>
      </c>
      <c r="C47" s="11" t="s">
        <v>130</v>
      </c>
    </row>
    <row r="48" spans="1:7" x14ac:dyDescent="0.2">
      <c r="A48" s="22" t="s">
        <v>800</v>
      </c>
      <c r="B48" s="21">
        <f>(LUBRIF!B17+LUBRIF!B23)*B27</f>
        <v>3.8529399999999998</v>
      </c>
      <c r="C48" s="11" t="s">
        <v>130</v>
      </c>
    </row>
    <row r="49" spans="1:5" x14ac:dyDescent="0.2">
      <c r="A49" s="22" t="s">
        <v>801</v>
      </c>
      <c r="B49" s="21"/>
      <c r="C49" s="11" t="s">
        <v>130</v>
      </c>
    </row>
    <row r="50" spans="1:5" x14ac:dyDescent="0.2">
      <c r="A50" s="22" t="s">
        <v>802</v>
      </c>
      <c r="B50" s="21">
        <f>0.0015*B27</f>
        <v>2.73</v>
      </c>
      <c r="C50" s="11" t="s">
        <v>130</v>
      </c>
    </row>
    <row r="51" spans="1:5" x14ac:dyDescent="0.2">
      <c r="A51" s="22" t="s">
        <v>803</v>
      </c>
      <c r="B51" s="21">
        <f>LUBRIF!B28*B27</f>
        <v>174.58350000000002</v>
      </c>
      <c r="C51" s="11" t="s">
        <v>130</v>
      </c>
    </row>
    <row r="52" spans="1:5" x14ac:dyDescent="0.2">
      <c r="A52" s="22" t="s">
        <v>804</v>
      </c>
      <c r="B52" s="11">
        <f>15*30</f>
        <v>450</v>
      </c>
      <c r="C52" s="11" t="s">
        <v>130</v>
      </c>
    </row>
    <row r="53" spans="1:5" x14ac:dyDescent="0.2">
      <c r="A53" s="22" t="s">
        <v>805</v>
      </c>
      <c r="B53" s="21">
        <f>(B28)*0.03</f>
        <v>0.26099999999999995</v>
      </c>
      <c r="C53" s="11" t="s">
        <v>130</v>
      </c>
    </row>
    <row r="54" spans="1:5" x14ac:dyDescent="0.2">
      <c r="A54" s="22" t="s">
        <v>806</v>
      </c>
      <c r="B54" s="64">
        <f>+B47+B48+B49+B50+B51+B52+B53</f>
        <v>659.81743800000004</v>
      </c>
      <c r="C54" s="11" t="s">
        <v>130</v>
      </c>
    </row>
    <row r="55" spans="1:5" x14ac:dyDescent="0.2">
      <c r="A55" s="22"/>
      <c r="B55" s="21"/>
    </row>
    <row r="56" spans="1:5" x14ac:dyDescent="0.2">
      <c r="A56" s="22" t="s">
        <v>81</v>
      </c>
      <c r="B56" s="21"/>
    </row>
    <row r="57" spans="1:5" x14ac:dyDescent="0.2">
      <c r="A57" s="22"/>
      <c r="B57" s="21"/>
    </row>
    <row r="58" spans="1:5" x14ac:dyDescent="0.2">
      <c r="A58" s="22" t="s">
        <v>151</v>
      </c>
      <c r="B58" s="21">
        <f>(+G12*3%)/12</f>
        <v>829.0625</v>
      </c>
      <c r="C58" s="11" t="s">
        <v>130</v>
      </c>
    </row>
    <row r="59" spans="1:5" x14ac:dyDescent="0.2">
      <c r="A59" s="22" t="s">
        <v>541</v>
      </c>
      <c r="B59" s="21">
        <f>(213.84+(+G12*1%))/12</f>
        <v>294.17416666666668</v>
      </c>
      <c r="C59" s="11" t="s">
        <v>130</v>
      </c>
    </row>
    <row r="60" spans="1:5" x14ac:dyDescent="0.2">
      <c r="A60" s="11" t="s">
        <v>82</v>
      </c>
      <c r="B60" s="33">
        <f>+B58+B59</f>
        <v>1123.2366666666667</v>
      </c>
      <c r="C60" s="11" t="s">
        <v>130</v>
      </c>
    </row>
    <row r="62" spans="1:5" x14ac:dyDescent="0.2">
      <c r="A62" s="25" t="s">
        <v>83</v>
      </c>
      <c r="B62" s="26">
        <f>B60+B54+B43+B36+B29+B22+B16</f>
        <v>13553.648688344831</v>
      </c>
      <c r="C62" s="29" t="s">
        <v>130</v>
      </c>
      <c r="E62" s="24"/>
    </row>
    <row r="64" spans="1:5" hidden="1" x14ac:dyDescent="0.2">
      <c r="A64" s="25" t="s">
        <v>420</v>
      </c>
      <c r="B64" s="171" t="e">
        <f>(B29+B36+#REF!)-B51</f>
        <v>#REF!</v>
      </c>
      <c r="C64" s="25" t="s">
        <v>130</v>
      </c>
    </row>
    <row r="66" spans="2:2" x14ac:dyDescent="0.2">
      <c r="B66" s="67">
        <f>B62+MOTORISTA!B32</f>
        <v>20038.043944178164</v>
      </c>
    </row>
  </sheetData>
  <mergeCells count="4">
    <mergeCell ref="A1:B1"/>
    <mergeCell ref="A2:B2"/>
    <mergeCell ref="A6:B6"/>
    <mergeCell ref="A8:B8"/>
  </mergeCells>
  <printOptions horizontalCentered="1"/>
  <pageMargins left="0.78740157480314965" right="0.78740157480314965" top="0.98425196850393704" bottom="0.98425196850393704" header="0.31496062992125984" footer="0.27559055118110237"/>
  <pageSetup paperSize="9" scale="91" orientation="portrait" r:id="rId1"/>
  <headerFooter>
    <oddHeader>&amp;L&amp;G</oddHeader>
    <oddFooter>&amp;C&amp;"Calibri,Regular"&amp;8CNPJ: 41.244.542/0001-97
Cabo Corporate Center – Torre Aníbal Cardoso 
Rua Cento e Sessenta e Três, 226 – sala 405  -  Cabo de Santo Agostinho– PE  - CEP:  54518-430  
Tel.: (81) 3076-0018  / e-mail: nrjambiental05@gmail.com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B966B-5154-423B-B0A2-F76ED4D9AC96}">
  <dimension ref="A1:M62"/>
  <sheetViews>
    <sheetView view="pageBreakPreview" topLeftCell="A20" zoomScaleNormal="100" zoomScaleSheetLayoutView="100" workbookViewId="0">
      <selection activeCell="V25" sqref="V25"/>
    </sheetView>
  </sheetViews>
  <sheetFormatPr defaultColWidth="12" defaultRowHeight="12.75" x14ac:dyDescent="0.2"/>
  <cols>
    <col min="1" max="1" width="60" style="11" customWidth="1"/>
    <col min="2" max="2" width="17.83203125" style="11" customWidth="1"/>
    <col min="3" max="4" width="12" style="11"/>
    <col min="5" max="5" width="0" style="11" hidden="1" customWidth="1"/>
    <col min="6" max="6" width="15" style="11" hidden="1" customWidth="1"/>
    <col min="7" max="7" width="15.83203125" style="11" hidden="1" customWidth="1"/>
    <col min="8" max="8" width="14.33203125" style="11" hidden="1" customWidth="1"/>
    <col min="9" max="13" width="0" style="11" hidden="1" customWidth="1"/>
    <col min="14" max="16384" width="12" style="11"/>
  </cols>
  <sheetData>
    <row r="1" spans="1:13" ht="18.75" hidden="1" x14ac:dyDescent="0.3">
      <c r="A1" s="335" t="s">
        <v>215</v>
      </c>
      <c r="B1" s="335"/>
      <c r="C1" s="9"/>
      <c r="D1" s="9"/>
      <c r="E1" s="9"/>
      <c r="F1" s="10"/>
    </row>
    <row r="2" spans="1:13" ht="18" hidden="1" customHeight="1" x14ac:dyDescent="0.25">
      <c r="A2" s="335"/>
      <c r="B2" s="335"/>
      <c r="C2" s="9"/>
      <c r="D2" s="9"/>
      <c r="E2" s="9"/>
      <c r="F2" s="12"/>
    </row>
    <row r="3" spans="1:13" hidden="1" x14ac:dyDescent="0.2">
      <c r="A3" s="13"/>
      <c r="B3" s="13"/>
      <c r="C3" s="13"/>
      <c r="D3" s="13"/>
      <c r="E3" s="13"/>
      <c r="F3" s="13"/>
    </row>
    <row r="4" spans="1:13" hidden="1" x14ac:dyDescent="0.2">
      <c r="A4" s="14" t="s">
        <v>217</v>
      </c>
      <c r="B4" s="14" t="s">
        <v>211</v>
      </c>
      <c r="C4" s="13"/>
      <c r="E4" s="13"/>
      <c r="F4" s="13"/>
    </row>
    <row r="5" spans="1:13" x14ac:dyDescent="0.2">
      <c r="A5" s="12"/>
      <c r="B5" s="13"/>
      <c r="C5" s="13"/>
      <c r="D5" s="13"/>
      <c r="E5" s="13"/>
    </row>
    <row r="6" spans="1:13" x14ac:dyDescent="0.2">
      <c r="A6" s="336" t="s">
        <v>0</v>
      </c>
      <c r="B6" s="336"/>
      <c r="C6" s="15"/>
      <c r="D6" s="15"/>
      <c r="E6" s="15"/>
    </row>
    <row r="7" spans="1:13" x14ac:dyDescent="0.2">
      <c r="A7" s="16"/>
      <c r="B7" s="16"/>
      <c r="C7" s="16"/>
      <c r="D7" s="16"/>
    </row>
    <row r="8" spans="1:13" x14ac:dyDescent="0.2">
      <c r="A8" s="17" t="s">
        <v>681</v>
      </c>
      <c r="B8" s="18"/>
      <c r="C8" s="18"/>
      <c r="D8" s="18"/>
    </row>
    <row r="9" spans="1:13" x14ac:dyDescent="0.2">
      <c r="A9" s="16"/>
      <c r="B9" s="16"/>
      <c r="C9" s="16"/>
      <c r="D9" s="16"/>
    </row>
    <row r="10" spans="1:13" x14ac:dyDescent="0.2">
      <c r="A10" s="34" t="s">
        <v>15</v>
      </c>
    </row>
    <row r="12" spans="1:13" x14ac:dyDescent="0.2">
      <c r="A12" s="20" t="s">
        <v>431</v>
      </c>
      <c r="B12" s="21">
        <f>G14</f>
        <v>12798.35</v>
      </c>
      <c r="C12" s="11" t="s">
        <v>37</v>
      </c>
      <c r="E12" s="11" t="s">
        <v>432</v>
      </c>
      <c r="F12" s="11" t="s">
        <v>225</v>
      </c>
      <c r="G12" s="59"/>
      <c r="I12" t="s">
        <v>522</v>
      </c>
      <c r="J12" t="s">
        <v>523</v>
      </c>
      <c r="K12" s="185" t="s">
        <v>524</v>
      </c>
      <c r="L12" t="s">
        <v>525</v>
      </c>
      <c r="M12" t="s">
        <v>526</v>
      </c>
    </row>
    <row r="13" spans="1:13" x14ac:dyDescent="0.2">
      <c r="A13" s="20" t="s">
        <v>16</v>
      </c>
      <c r="B13" s="21">
        <v>60</v>
      </c>
      <c r="C13" s="11" t="s">
        <v>55</v>
      </c>
      <c r="F13" s="11" t="s">
        <v>433</v>
      </c>
      <c r="G13" s="59">
        <f>11500*1.1129</f>
        <v>12798.35</v>
      </c>
      <c r="I13">
        <v>1</v>
      </c>
      <c r="J13" s="185">
        <f>$G$14</f>
        <v>12798.35</v>
      </c>
      <c r="K13" s="185">
        <f>SLN($G$14,$B$15,$G$15)</f>
        <v>2047.7360000000001</v>
      </c>
      <c r="L13" s="185">
        <f>K13</f>
        <v>2047.7360000000001</v>
      </c>
      <c r="M13" s="185">
        <f>J13-L13</f>
        <v>10750.614</v>
      </c>
    </row>
    <row r="14" spans="1:13" x14ac:dyDescent="0.2">
      <c r="A14" s="20" t="s">
        <v>17</v>
      </c>
      <c r="B14" s="60">
        <v>0.2</v>
      </c>
      <c r="G14" s="59">
        <f>G12+(G13)</f>
        <v>12798.35</v>
      </c>
      <c r="I14">
        <v>2</v>
      </c>
      <c r="J14" s="185">
        <f t="shared" ref="J14:J17" si="0">$G$14</f>
        <v>12798.35</v>
      </c>
      <c r="K14" s="185">
        <f t="shared" ref="K14:K17" si="1">SLN($G$14,$B$15,$G$15)</f>
        <v>2047.7360000000001</v>
      </c>
      <c r="L14" s="185">
        <f>K14+L13</f>
        <v>4095.4720000000002</v>
      </c>
      <c r="M14" s="185">
        <f>J14-L14</f>
        <v>8702.8780000000006</v>
      </c>
    </row>
    <row r="15" spans="1:13" x14ac:dyDescent="0.2">
      <c r="A15" s="20" t="s">
        <v>224</v>
      </c>
      <c r="B15" s="23">
        <f>G13*B14</f>
        <v>2559.67</v>
      </c>
      <c r="G15" s="11">
        <v>5</v>
      </c>
      <c r="I15">
        <v>3</v>
      </c>
      <c r="J15" s="185">
        <f t="shared" si="0"/>
        <v>12798.35</v>
      </c>
      <c r="K15" s="185">
        <f t="shared" si="1"/>
        <v>2047.7360000000001</v>
      </c>
      <c r="L15" s="185">
        <f>K15+L14</f>
        <v>6143.2080000000005</v>
      </c>
      <c r="M15" s="185">
        <f>J15-L15</f>
        <v>6655.1419999999998</v>
      </c>
    </row>
    <row r="16" spans="1:13" x14ac:dyDescent="0.2">
      <c r="A16" s="11" t="s">
        <v>223</v>
      </c>
      <c r="B16" s="21">
        <f>((+B12)-(B15))/B13</f>
        <v>170.64466666666667</v>
      </c>
      <c r="C16" s="11" t="s">
        <v>130</v>
      </c>
      <c r="I16">
        <v>4</v>
      </c>
      <c r="J16" s="185">
        <f t="shared" si="0"/>
        <v>12798.35</v>
      </c>
      <c r="K16" s="185">
        <f t="shared" si="1"/>
        <v>2047.7360000000001</v>
      </c>
      <c r="L16" s="185">
        <f>K16+L15</f>
        <v>8190.9440000000004</v>
      </c>
      <c r="M16" s="185">
        <f>J16-L16</f>
        <v>4607.4059999999999</v>
      </c>
    </row>
    <row r="17" spans="1:13" x14ac:dyDescent="0.2">
      <c r="I17">
        <v>5</v>
      </c>
      <c r="J17" s="185">
        <f t="shared" si="0"/>
        <v>12798.35</v>
      </c>
      <c r="K17" s="185">
        <f t="shared" si="1"/>
        <v>2047.7360000000001</v>
      </c>
      <c r="L17" s="185">
        <f>K17+L16</f>
        <v>10238.68</v>
      </c>
      <c r="M17" s="185">
        <f>J17-L17</f>
        <v>2559.67</v>
      </c>
    </row>
    <row r="18" spans="1:13" x14ac:dyDescent="0.2">
      <c r="A18" s="19" t="s">
        <v>18</v>
      </c>
    </row>
    <row r="20" spans="1:13" x14ac:dyDescent="0.2">
      <c r="A20" s="61" t="s">
        <v>19</v>
      </c>
      <c r="B20" s="16">
        <f>+B12</f>
        <v>12798.35</v>
      </c>
      <c r="C20" s="16" t="s">
        <v>37</v>
      </c>
      <c r="D20" s="16"/>
    </row>
    <row r="21" spans="1:13" x14ac:dyDescent="0.2">
      <c r="A21" s="61" t="s">
        <v>20</v>
      </c>
      <c r="B21" s="187">
        <v>0.14249999999999999</v>
      </c>
      <c r="C21" s="16"/>
      <c r="D21" s="16"/>
    </row>
    <row r="22" spans="1:13" x14ac:dyDescent="0.2">
      <c r="A22" s="61" t="s">
        <v>21</v>
      </c>
      <c r="B22" s="16">
        <f>((B12-B15)*B21)/12</f>
        <v>121.58432499999999</v>
      </c>
      <c r="C22" s="16" t="s">
        <v>130</v>
      </c>
      <c r="D22" s="16"/>
    </row>
    <row r="23" spans="1:13" x14ac:dyDescent="0.2">
      <c r="A23" s="16" t="s">
        <v>8</v>
      </c>
      <c r="B23" s="16" t="s">
        <v>8</v>
      </c>
      <c r="C23" s="16" t="s">
        <v>8</v>
      </c>
      <c r="D23" s="16"/>
    </row>
    <row r="24" spans="1:13" x14ac:dyDescent="0.2">
      <c r="A24" s="18" t="s">
        <v>22</v>
      </c>
      <c r="B24" s="16" t="s">
        <v>8</v>
      </c>
      <c r="C24" s="16" t="s">
        <v>8</v>
      </c>
      <c r="D24" s="16" t="s">
        <v>8</v>
      </c>
    </row>
    <row r="26" spans="1:13" x14ac:dyDescent="0.2">
      <c r="A26" s="20" t="s">
        <v>434</v>
      </c>
      <c r="B26" s="21"/>
      <c r="C26" s="11" t="s">
        <v>205</v>
      </c>
    </row>
    <row r="27" spans="1:13" x14ac:dyDescent="0.2">
      <c r="A27" s="20" t="s">
        <v>683</v>
      </c>
      <c r="B27" s="21">
        <f>F27*26</f>
        <v>1820</v>
      </c>
      <c r="C27" s="11" t="s">
        <v>45</v>
      </c>
      <c r="F27" s="11">
        <v>70</v>
      </c>
    </row>
    <row r="28" spans="1:13" x14ac:dyDescent="0.2">
      <c r="A28" s="20" t="s">
        <v>24</v>
      </c>
      <c r="B28" s="21">
        <v>1.5</v>
      </c>
      <c r="C28" s="11" t="s">
        <v>206</v>
      </c>
    </row>
    <row r="29" spans="1:13" x14ac:dyDescent="0.2">
      <c r="A29" s="22" t="s">
        <v>25</v>
      </c>
      <c r="B29" s="21">
        <f>+(B27/B28)*B26</f>
        <v>0</v>
      </c>
      <c r="C29" s="11" t="s">
        <v>130</v>
      </c>
    </row>
    <row r="30" spans="1:13" x14ac:dyDescent="0.2">
      <c r="A30" s="20"/>
      <c r="B30" s="21"/>
    </row>
    <row r="31" spans="1:13" x14ac:dyDescent="0.2">
      <c r="A31" s="18" t="s">
        <v>26</v>
      </c>
      <c r="B31" s="16" t="s">
        <v>8</v>
      </c>
    </row>
    <row r="33" spans="1:3" x14ac:dyDescent="0.2">
      <c r="A33" s="20" t="s">
        <v>682</v>
      </c>
      <c r="B33" s="21">
        <f>889.9*2</f>
        <v>1779.8</v>
      </c>
      <c r="C33" s="11" t="s">
        <v>37</v>
      </c>
    </row>
    <row r="34" spans="1:3" x14ac:dyDescent="0.2">
      <c r="A34" s="20" t="s">
        <v>27</v>
      </c>
      <c r="B34" s="21">
        <v>50000</v>
      </c>
      <c r="C34" s="11" t="s">
        <v>45</v>
      </c>
    </row>
    <row r="35" spans="1:3" x14ac:dyDescent="0.2">
      <c r="A35" s="20" t="s">
        <v>684</v>
      </c>
      <c r="B35" s="21">
        <f>B27</f>
        <v>1820</v>
      </c>
      <c r="C35" s="11" t="s">
        <v>207</v>
      </c>
    </row>
    <row r="36" spans="1:3" x14ac:dyDescent="0.2">
      <c r="A36" s="20" t="s">
        <v>438</v>
      </c>
      <c r="B36" s="21">
        <f>+(B33*B35)/B34</f>
        <v>64.784719999999993</v>
      </c>
      <c r="C36" s="11" t="s">
        <v>130</v>
      </c>
    </row>
    <row r="37" spans="1:3" x14ac:dyDescent="0.2">
      <c r="A37" s="20"/>
      <c r="B37" s="21"/>
    </row>
    <row r="38" spans="1:3" x14ac:dyDescent="0.2">
      <c r="A38" s="19" t="s">
        <v>29</v>
      </c>
    </row>
    <row r="39" spans="1:3" x14ac:dyDescent="0.2">
      <c r="A39" s="20" t="s">
        <v>7</v>
      </c>
    </row>
    <row r="40" spans="1:3" x14ac:dyDescent="0.2">
      <c r="A40" s="20" t="s">
        <v>30</v>
      </c>
      <c r="B40" s="60">
        <v>0.5</v>
      </c>
    </row>
    <row r="41" spans="1:3" x14ac:dyDescent="0.2">
      <c r="A41" s="20" t="s">
        <v>31</v>
      </c>
      <c r="B41" s="24">
        <f>G14</f>
        <v>12798.35</v>
      </c>
      <c r="C41" s="11" t="s">
        <v>37</v>
      </c>
    </row>
    <row r="42" spans="1:3" x14ac:dyDescent="0.2">
      <c r="A42" s="20" t="s">
        <v>32</v>
      </c>
      <c r="B42" s="21">
        <v>60</v>
      </c>
      <c r="C42" s="11" t="s">
        <v>55</v>
      </c>
    </row>
    <row r="43" spans="1:3" x14ac:dyDescent="0.2">
      <c r="A43" s="20" t="s">
        <v>33</v>
      </c>
      <c r="B43" s="21">
        <f>+(B40*B41)/B42</f>
        <v>106.65291666666667</v>
      </c>
      <c r="C43" s="11" t="s">
        <v>130</v>
      </c>
    </row>
    <row r="45" spans="1:3" x14ac:dyDescent="0.2">
      <c r="A45" s="63" t="s">
        <v>74</v>
      </c>
      <c r="B45" s="21"/>
    </row>
    <row r="46" spans="1:3" x14ac:dyDescent="0.2">
      <c r="A46" s="20"/>
      <c r="B46" s="21"/>
    </row>
    <row r="47" spans="1:3" x14ac:dyDescent="0.2">
      <c r="A47" s="22" t="s">
        <v>179</v>
      </c>
      <c r="B47" s="21"/>
      <c r="C47" s="11" t="s">
        <v>130</v>
      </c>
    </row>
    <row r="48" spans="1:3" x14ac:dyDescent="0.2">
      <c r="A48" s="22" t="s">
        <v>800</v>
      </c>
      <c r="B48" s="21"/>
      <c r="C48" s="11" t="s">
        <v>130</v>
      </c>
    </row>
    <row r="49" spans="1:3" x14ac:dyDescent="0.2">
      <c r="A49" s="22" t="s">
        <v>801</v>
      </c>
      <c r="B49" s="21">
        <v>0</v>
      </c>
    </row>
    <row r="50" spans="1:3" x14ac:dyDescent="0.2">
      <c r="A50" s="22" t="s">
        <v>802</v>
      </c>
      <c r="B50" s="21">
        <f>0.0015*B27</f>
        <v>2.73</v>
      </c>
      <c r="C50" s="11" t="s">
        <v>130</v>
      </c>
    </row>
    <row r="51" spans="1:3" x14ac:dyDescent="0.2">
      <c r="A51" s="22" t="s">
        <v>803</v>
      </c>
      <c r="C51" s="11" t="s">
        <v>130</v>
      </c>
    </row>
    <row r="52" spans="1:3" x14ac:dyDescent="0.2">
      <c r="A52" s="22" t="s">
        <v>804</v>
      </c>
      <c r="B52" s="21">
        <f>15*20</f>
        <v>300</v>
      </c>
      <c r="C52" s="11" t="s">
        <v>130</v>
      </c>
    </row>
    <row r="53" spans="1:3" x14ac:dyDescent="0.2">
      <c r="A53" s="22" t="s">
        <v>805</v>
      </c>
      <c r="B53" s="21"/>
    </row>
    <row r="54" spans="1:3" x14ac:dyDescent="0.2">
      <c r="A54" s="22" t="s">
        <v>806</v>
      </c>
      <c r="B54" s="64">
        <f>+B47+B48+B49+B50+B51+B52+B53</f>
        <v>302.73</v>
      </c>
      <c r="C54" s="11" t="s">
        <v>130</v>
      </c>
    </row>
    <row r="55" spans="1:3" x14ac:dyDescent="0.2">
      <c r="A55" s="22"/>
      <c r="B55" s="21"/>
    </row>
    <row r="56" spans="1:3" x14ac:dyDescent="0.2">
      <c r="A56" s="63" t="s">
        <v>81</v>
      </c>
      <c r="B56" s="21"/>
    </row>
    <row r="57" spans="1:3" x14ac:dyDescent="0.2">
      <c r="A57" s="22"/>
      <c r="B57" s="21"/>
    </row>
    <row r="58" spans="1:3" x14ac:dyDescent="0.2">
      <c r="A58" s="22" t="s">
        <v>151</v>
      </c>
      <c r="B58" s="21"/>
      <c r="C58" s="11" t="s">
        <v>130</v>
      </c>
    </row>
    <row r="59" spans="1:3" x14ac:dyDescent="0.2">
      <c r="A59" s="22" t="s">
        <v>150</v>
      </c>
      <c r="B59" s="21">
        <f>(213.84+(G13*1%))/12</f>
        <v>28.485291666666669</v>
      </c>
      <c r="C59" s="11" t="s">
        <v>130</v>
      </c>
    </row>
    <row r="60" spans="1:3" x14ac:dyDescent="0.2">
      <c r="A60" s="11" t="s">
        <v>82</v>
      </c>
      <c r="B60" s="33">
        <f>+B58+B59</f>
        <v>28.485291666666669</v>
      </c>
      <c r="C60" s="11" t="s">
        <v>130</v>
      </c>
    </row>
    <row r="62" spans="1:3" x14ac:dyDescent="0.2">
      <c r="A62" s="25" t="s">
        <v>83</v>
      </c>
      <c r="B62" s="26">
        <f>B60+B54+B43+B36+B29+B22+B16</f>
        <v>794.88192000000004</v>
      </c>
      <c r="C62" s="29" t="s">
        <v>130</v>
      </c>
    </row>
  </sheetData>
  <mergeCells count="3">
    <mergeCell ref="A1:B1"/>
    <mergeCell ref="A2:B2"/>
    <mergeCell ref="A6:B6"/>
  </mergeCells>
  <pageMargins left="0.511811024" right="0.511811024" top="0.78740157499999996" bottom="0.78740157499999996" header="0.31496062000000002" footer="0.31496062000000002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456D3-CD5F-41A7-BD23-E45007160AF6}">
  <dimension ref="A1:O66"/>
  <sheetViews>
    <sheetView view="pageBreakPreview" topLeftCell="A20" zoomScaleNormal="100" zoomScaleSheetLayoutView="100" workbookViewId="0">
      <selection activeCell="Z57" sqref="Z57"/>
    </sheetView>
  </sheetViews>
  <sheetFormatPr defaultColWidth="12" defaultRowHeight="12.75" x14ac:dyDescent="0.2"/>
  <cols>
    <col min="1" max="1" width="57.33203125" style="11" customWidth="1"/>
    <col min="2" max="2" width="17.83203125" style="11" customWidth="1"/>
    <col min="3" max="4" width="12" style="11"/>
    <col min="5" max="5" width="14.6640625" style="11" hidden="1" customWidth="1"/>
    <col min="6" max="6" width="13.33203125" style="11" hidden="1" customWidth="1"/>
    <col min="7" max="7" width="14" style="59" hidden="1" customWidth="1"/>
    <col min="8" max="14" width="0" style="11" hidden="1" customWidth="1"/>
    <col min="15" max="15" width="0" style="59" hidden="1" customWidth="1"/>
    <col min="16" max="16" width="0" style="11" hidden="1" customWidth="1"/>
    <col min="17" max="16384" width="12" style="11"/>
  </cols>
  <sheetData>
    <row r="1" spans="1:15" ht="18.75" hidden="1" x14ac:dyDescent="0.3">
      <c r="A1" s="335" t="s">
        <v>215</v>
      </c>
      <c r="B1" s="335"/>
      <c r="C1" s="9"/>
      <c r="D1" s="9"/>
      <c r="E1" s="9"/>
      <c r="F1" s="10"/>
    </row>
    <row r="2" spans="1:15" ht="18" hidden="1" customHeight="1" x14ac:dyDescent="0.25">
      <c r="A2" s="335"/>
      <c r="B2" s="335"/>
      <c r="C2" s="9"/>
      <c r="D2" s="9"/>
      <c r="E2" s="9"/>
      <c r="F2" s="12"/>
    </row>
    <row r="3" spans="1:15" hidden="1" x14ac:dyDescent="0.2">
      <c r="A3" s="13"/>
      <c r="B3" s="13"/>
      <c r="C3" s="13"/>
      <c r="D3" s="13"/>
      <c r="E3" s="13"/>
      <c r="F3" s="13"/>
    </row>
    <row r="4" spans="1:15" hidden="1" x14ac:dyDescent="0.2">
      <c r="A4" s="14" t="s">
        <v>217</v>
      </c>
      <c r="B4" s="14" t="s">
        <v>211</v>
      </c>
      <c r="C4" s="13"/>
      <c r="E4" s="13"/>
      <c r="F4" s="13"/>
    </row>
    <row r="5" spans="1:15" x14ac:dyDescent="0.2">
      <c r="A5" s="12"/>
      <c r="B5" s="13"/>
      <c r="C5" s="13"/>
      <c r="D5" s="13"/>
      <c r="E5" s="13"/>
    </row>
    <row r="6" spans="1:15" x14ac:dyDescent="0.2">
      <c r="A6" s="336" t="s">
        <v>0</v>
      </c>
      <c r="B6" s="336"/>
      <c r="C6" s="15"/>
      <c r="D6" s="15"/>
      <c r="E6" s="15"/>
    </row>
    <row r="7" spans="1:15" x14ac:dyDescent="0.2">
      <c r="A7" s="16"/>
      <c r="B7" s="16"/>
      <c r="C7" s="16"/>
      <c r="D7" s="16"/>
    </row>
    <row r="8" spans="1:15" x14ac:dyDescent="0.2">
      <c r="A8" s="17" t="s">
        <v>653</v>
      </c>
      <c r="B8" s="18"/>
      <c r="C8" s="18"/>
      <c r="D8" s="18"/>
    </row>
    <row r="9" spans="1:15" x14ac:dyDescent="0.2">
      <c r="A9" s="16"/>
      <c r="B9" s="16"/>
      <c r="C9" s="16"/>
      <c r="D9" s="16"/>
    </row>
    <row r="10" spans="1:15" x14ac:dyDescent="0.2">
      <c r="A10" s="34" t="s">
        <v>15</v>
      </c>
    </row>
    <row r="12" spans="1:15" x14ac:dyDescent="0.2">
      <c r="A12" s="20" t="s">
        <v>149</v>
      </c>
      <c r="B12" s="21">
        <f>G14</f>
        <v>475268</v>
      </c>
      <c r="C12" s="11" t="s">
        <v>37</v>
      </c>
      <c r="E12" s="1" t="s">
        <v>710</v>
      </c>
      <c r="F12" s="1" t="s">
        <v>225</v>
      </c>
      <c r="G12" s="65">
        <v>415268</v>
      </c>
      <c r="I12" t="s">
        <v>522</v>
      </c>
      <c r="J12" t="s">
        <v>523</v>
      </c>
      <c r="K12" s="185" t="s">
        <v>524</v>
      </c>
      <c r="L12" s="238" t="s">
        <v>525</v>
      </c>
      <c r="M12" t="s">
        <v>526</v>
      </c>
    </row>
    <row r="13" spans="1:15" x14ac:dyDescent="0.2">
      <c r="A13" s="20" t="s">
        <v>16</v>
      </c>
      <c r="B13" s="21">
        <v>60</v>
      </c>
      <c r="C13" s="11" t="s">
        <v>55</v>
      </c>
      <c r="F13" s="11" t="s">
        <v>226</v>
      </c>
      <c r="G13" s="59">
        <v>60000</v>
      </c>
      <c r="I13">
        <v>1</v>
      </c>
      <c r="J13" s="185">
        <f>$G$14</f>
        <v>475268</v>
      </c>
      <c r="K13" s="185">
        <f>SLN($G$14,$B$15,$G$15)</f>
        <v>76042.880000000005</v>
      </c>
      <c r="L13" s="185">
        <f>K13</f>
        <v>76042.880000000005</v>
      </c>
      <c r="M13" s="185">
        <f>J13-L13</f>
        <v>399225.12</v>
      </c>
      <c r="O13" s="59">
        <f>(G19/G14)*100</f>
        <v>0</v>
      </c>
    </row>
    <row r="14" spans="1:15" x14ac:dyDescent="0.2">
      <c r="A14" s="20" t="s">
        <v>17</v>
      </c>
      <c r="B14" s="60">
        <v>0.2</v>
      </c>
      <c r="G14" s="59">
        <f>SUM(G12:G13)</f>
        <v>475268</v>
      </c>
      <c r="I14">
        <v>2</v>
      </c>
      <c r="J14" s="185">
        <f>$G$14</f>
        <v>475268</v>
      </c>
      <c r="K14" s="185">
        <f>SLN($G$14,$B$15,$G$15)</f>
        <v>76042.880000000005</v>
      </c>
      <c r="L14" s="185">
        <f>K14+L13</f>
        <v>152085.76000000001</v>
      </c>
      <c r="M14" s="185">
        <f>J14-L14</f>
        <v>323182.24</v>
      </c>
      <c r="O14" s="59">
        <f>($G$19/M13)*100</f>
        <v>0</v>
      </c>
    </row>
    <row r="15" spans="1:15" x14ac:dyDescent="0.2">
      <c r="A15" s="20" t="s">
        <v>224</v>
      </c>
      <c r="B15" s="23">
        <f>G14*B14</f>
        <v>95053.6</v>
      </c>
      <c r="G15" s="11">
        <v>5</v>
      </c>
      <c r="I15">
        <v>3</v>
      </c>
      <c r="J15" s="185">
        <f>$G$14</f>
        <v>475268</v>
      </c>
      <c r="K15" s="185">
        <f>SLN($G$14,$B$15,$G$15)</f>
        <v>76042.880000000005</v>
      </c>
      <c r="L15" s="185">
        <f>K15+L14</f>
        <v>228128.64000000001</v>
      </c>
      <c r="M15" s="185">
        <f>J15-L15</f>
        <v>247139.36</v>
      </c>
      <c r="O15" s="59">
        <f>($G$19/M14)*100</f>
        <v>0</v>
      </c>
    </row>
    <row r="16" spans="1:15" x14ac:dyDescent="0.2">
      <c r="A16" s="11" t="s">
        <v>223</v>
      </c>
      <c r="B16" s="21">
        <f>(B12-B15)/B13</f>
        <v>6336.9066666666668</v>
      </c>
      <c r="C16" s="11" t="s">
        <v>130</v>
      </c>
      <c r="I16">
        <v>4</v>
      </c>
      <c r="J16" s="185">
        <f>$G$14</f>
        <v>475268</v>
      </c>
      <c r="K16" s="185">
        <f>SLN($G$14,$B$15,$G$15)</f>
        <v>76042.880000000005</v>
      </c>
      <c r="L16" s="185">
        <f>K16+L15</f>
        <v>304171.52000000002</v>
      </c>
      <c r="M16" s="185">
        <f>J16-L16</f>
        <v>171096.47999999998</v>
      </c>
      <c r="O16" s="59">
        <f>($G$19/M15)*100</f>
        <v>0</v>
      </c>
    </row>
    <row r="17" spans="1:15" x14ac:dyDescent="0.2">
      <c r="I17">
        <v>5</v>
      </c>
      <c r="J17" s="185">
        <f>$G$14</f>
        <v>475268</v>
      </c>
      <c r="K17" s="185">
        <f>SLN($G$14,$B$15,$G$15)</f>
        <v>76042.880000000005</v>
      </c>
      <c r="L17" s="185">
        <f>K17+L16</f>
        <v>380214.4</v>
      </c>
      <c r="M17" s="185">
        <f>J17-L17</f>
        <v>95053.599999999977</v>
      </c>
      <c r="O17" s="59">
        <f>($G$19/M16)*100</f>
        <v>0</v>
      </c>
    </row>
    <row r="18" spans="1:15" x14ac:dyDescent="0.2">
      <c r="A18" s="19" t="s">
        <v>18</v>
      </c>
      <c r="O18" s="59">
        <f>($G$19/M17)*100</f>
        <v>0</v>
      </c>
    </row>
    <row r="19" spans="1:15" x14ac:dyDescent="0.2">
      <c r="E19" s="67"/>
    </row>
    <row r="20" spans="1:15" x14ac:dyDescent="0.2">
      <c r="A20" s="61" t="s">
        <v>19</v>
      </c>
      <c r="B20" s="16">
        <f>+B12</f>
        <v>475268</v>
      </c>
      <c r="C20" s="16" t="s">
        <v>37</v>
      </c>
      <c r="D20" s="16"/>
    </row>
    <row r="21" spans="1:15" x14ac:dyDescent="0.2">
      <c r="A21" s="61" t="s">
        <v>539</v>
      </c>
      <c r="B21" s="187">
        <v>0.14249999999999999</v>
      </c>
      <c r="C21" s="16"/>
      <c r="D21" s="16"/>
    </row>
    <row r="22" spans="1:15" x14ac:dyDescent="0.2">
      <c r="A22" s="61" t="s">
        <v>21</v>
      </c>
      <c r="B22" s="16">
        <f>((B12-B15)*B21)/12</f>
        <v>4515.0459999999994</v>
      </c>
      <c r="C22" s="16" t="s">
        <v>130</v>
      </c>
      <c r="D22" s="16"/>
    </row>
    <row r="23" spans="1:15" x14ac:dyDescent="0.2">
      <c r="A23" s="16" t="s">
        <v>8</v>
      </c>
      <c r="B23" s="16" t="s">
        <v>8</v>
      </c>
      <c r="C23" s="16" t="s">
        <v>8</v>
      </c>
      <c r="D23" s="16"/>
    </row>
    <row r="24" spans="1:15" x14ac:dyDescent="0.2">
      <c r="A24" s="18" t="s">
        <v>22</v>
      </c>
      <c r="B24" s="16" t="s">
        <v>8</v>
      </c>
      <c r="C24" s="16" t="s">
        <v>8</v>
      </c>
      <c r="D24" s="16" t="s">
        <v>8</v>
      </c>
    </row>
    <row r="26" spans="1:15" x14ac:dyDescent="0.2">
      <c r="A26" s="20" t="s">
        <v>23</v>
      </c>
      <c r="B26" s="21">
        <f>DADOS!D21</f>
        <v>6.24</v>
      </c>
      <c r="C26" s="11" t="s">
        <v>205</v>
      </c>
    </row>
    <row r="27" spans="1:15" x14ac:dyDescent="0.2">
      <c r="A27" s="20" t="s">
        <v>571</v>
      </c>
      <c r="B27" s="21">
        <f>E27*26.08</f>
        <v>788.65919999999994</v>
      </c>
      <c r="C27" s="11" t="s">
        <v>45</v>
      </c>
      <c r="E27" s="11">
        <v>30.24</v>
      </c>
    </row>
    <row r="28" spans="1:15" x14ac:dyDescent="0.2">
      <c r="A28" s="20" t="s">
        <v>24</v>
      </c>
      <c r="B28" s="21">
        <v>2.1</v>
      </c>
      <c r="C28" s="11" t="s">
        <v>206</v>
      </c>
    </row>
    <row r="29" spans="1:15" x14ac:dyDescent="0.2">
      <c r="A29" s="22" t="s">
        <v>25</v>
      </c>
      <c r="B29" s="21">
        <f>+(B27/B28)*B26</f>
        <v>2343.4444799999997</v>
      </c>
      <c r="C29" s="11" t="s">
        <v>130</v>
      </c>
    </row>
    <row r="30" spans="1:15" x14ac:dyDescent="0.2">
      <c r="A30" s="20"/>
      <c r="B30" s="21"/>
    </row>
    <row r="31" spans="1:15" x14ac:dyDescent="0.2">
      <c r="A31" s="18" t="s">
        <v>26</v>
      </c>
      <c r="B31" s="16" t="s">
        <v>8</v>
      </c>
    </row>
    <row r="33" spans="1:9" x14ac:dyDescent="0.2">
      <c r="A33" s="20" t="s">
        <v>94</v>
      </c>
      <c r="B33" s="21">
        <f>(1572.9)*6</f>
        <v>9437.4000000000015</v>
      </c>
      <c r="C33" s="11" t="s">
        <v>37</v>
      </c>
    </row>
    <row r="34" spans="1:9" x14ac:dyDescent="0.2">
      <c r="A34" s="20" t="s">
        <v>27</v>
      </c>
      <c r="B34" s="21">
        <v>50000</v>
      </c>
      <c r="C34" s="11" t="s">
        <v>45</v>
      </c>
    </row>
    <row r="35" spans="1:9" x14ac:dyDescent="0.2">
      <c r="A35" s="20" t="s">
        <v>459</v>
      </c>
      <c r="B35" s="21">
        <f>B27</f>
        <v>788.65919999999994</v>
      </c>
      <c r="C35" s="11" t="s">
        <v>207</v>
      </c>
      <c r="I35" s="186"/>
    </row>
    <row r="36" spans="1:9" x14ac:dyDescent="0.2">
      <c r="A36" s="20" t="s">
        <v>28</v>
      </c>
      <c r="B36" s="21">
        <f>+(B33*B35)/B34</f>
        <v>148.85784668159999</v>
      </c>
      <c r="C36" s="11" t="s">
        <v>130</v>
      </c>
      <c r="I36" s="186"/>
    </row>
    <row r="37" spans="1:9" x14ac:dyDescent="0.2">
      <c r="A37" s="20"/>
      <c r="B37" s="21"/>
      <c r="I37" s="186"/>
    </row>
    <row r="38" spans="1:9" x14ac:dyDescent="0.2">
      <c r="A38" s="19" t="s">
        <v>566</v>
      </c>
      <c r="I38" s="186"/>
    </row>
    <row r="39" spans="1:9" x14ac:dyDescent="0.2">
      <c r="A39" s="20" t="s">
        <v>7</v>
      </c>
      <c r="I39" s="186"/>
    </row>
    <row r="40" spans="1:9" x14ac:dyDescent="0.2">
      <c r="A40" s="20" t="s">
        <v>30</v>
      </c>
      <c r="B40" s="60">
        <v>0.65</v>
      </c>
      <c r="E40" s="186"/>
      <c r="I40" s="186"/>
    </row>
    <row r="41" spans="1:9" x14ac:dyDescent="0.2">
      <c r="A41" s="20" t="s">
        <v>553</v>
      </c>
      <c r="B41" s="24">
        <f>G14</f>
        <v>475268</v>
      </c>
      <c r="C41" s="11" t="s">
        <v>37</v>
      </c>
      <c r="I41" s="186"/>
    </row>
    <row r="42" spans="1:9" x14ac:dyDescent="0.2">
      <c r="A42" s="20" t="s">
        <v>32</v>
      </c>
      <c r="B42" s="21">
        <v>60</v>
      </c>
      <c r="C42" s="11" t="s">
        <v>55</v>
      </c>
      <c r="I42" s="186"/>
    </row>
    <row r="43" spans="1:9" x14ac:dyDescent="0.2">
      <c r="A43" s="20" t="s">
        <v>33</v>
      </c>
      <c r="B43" s="21">
        <f>+(B40*B41)/B42</f>
        <v>5148.7366666666667</v>
      </c>
      <c r="C43" s="11" t="s">
        <v>130</v>
      </c>
      <c r="I43" s="186"/>
    </row>
    <row r="44" spans="1:9" x14ac:dyDescent="0.2">
      <c r="I44" s="186"/>
    </row>
    <row r="45" spans="1:9" x14ac:dyDescent="0.2">
      <c r="A45" s="63" t="s">
        <v>74</v>
      </c>
      <c r="B45" s="21"/>
      <c r="I45" s="186"/>
    </row>
    <row r="46" spans="1:9" x14ac:dyDescent="0.2">
      <c r="A46" s="20"/>
      <c r="B46" s="21"/>
      <c r="I46" s="186"/>
    </row>
    <row r="47" spans="1:9" x14ac:dyDescent="0.2">
      <c r="A47" s="22" t="s">
        <v>179</v>
      </c>
      <c r="B47" s="21">
        <f>LUBRIF!C7*((LUBRIF!C4/LUBRIF!C8)+(((1/1000)/1000)))*B27</f>
        <v>21.697265011161598</v>
      </c>
      <c r="C47" s="11" t="s">
        <v>130</v>
      </c>
      <c r="I47" s="186"/>
    </row>
    <row r="48" spans="1:9" x14ac:dyDescent="0.2">
      <c r="A48" s="22" t="s">
        <v>800</v>
      </c>
      <c r="B48" s="21">
        <f>(LUBRIF!C17+LUBRIF!C23)*B27</f>
        <v>8.8475732352000023</v>
      </c>
      <c r="C48" s="11" t="s">
        <v>130</v>
      </c>
    </row>
    <row r="49" spans="1:3" x14ac:dyDescent="0.2">
      <c r="A49" s="22" t="s">
        <v>801</v>
      </c>
      <c r="B49" s="21"/>
      <c r="C49" s="11" t="s">
        <v>130</v>
      </c>
    </row>
    <row r="50" spans="1:3" x14ac:dyDescent="0.2">
      <c r="A50" s="22" t="s">
        <v>802</v>
      </c>
      <c r="B50" s="21">
        <f>0.0015*B27</f>
        <v>1.1829888</v>
      </c>
      <c r="C50" s="11" t="s">
        <v>130</v>
      </c>
    </row>
    <row r="51" spans="1:3" x14ac:dyDescent="0.2">
      <c r="A51" s="22" t="s">
        <v>803</v>
      </c>
      <c r="B51" s="21">
        <f>LUBRIF!C28*B27</f>
        <v>75.652133759999998</v>
      </c>
      <c r="C51" s="11" t="s">
        <v>130</v>
      </c>
    </row>
    <row r="52" spans="1:3" x14ac:dyDescent="0.2">
      <c r="A52" s="22" t="s">
        <v>804</v>
      </c>
      <c r="B52" s="21">
        <f>15*40</f>
        <v>600</v>
      </c>
      <c r="C52" s="11" t="s">
        <v>130</v>
      </c>
    </row>
    <row r="53" spans="1:3" x14ac:dyDescent="0.2">
      <c r="A53" s="22" t="s">
        <v>805</v>
      </c>
      <c r="B53" s="21">
        <f>(B29)*0.03</f>
        <v>70.303334399999983</v>
      </c>
      <c r="C53" s="11" t="s">
        <v>130</v>
      </c>
    </row>
    <row r="54" spans="1:3" x14ac:dyDescent="0.2">
      <c r="A54" s="22" t="s">
        <v>806</v>
      </c>
      <c r="B54" s="64">
        <f>+B47+B48+B49+B50+B51+B52+B53</f>
        <v>777.68329520636166</v>
      </c>
      <c r="C54" s="11" t="s">
        <v>130</v>
      </c>
    </row>
    <row r="55" spans="1:3" x14ac:dyDescent="0.2">
      <c r="A55" s="22"/>
      <c r="B55" s="21"/>
    </row>
    <row r="56" spans="1:3" x14ac:dyDescent="0.2">
      <c r="A56" s="63" t="s">
        <v>81</v>
      </c>
      <c r="B56" s="21"/>
    </row>
    <row r="57" spans="1:3" x14ac:dyDescent="0.2">
      <c r="A57" s="22"/>
      <c r="B57" s="21"/>
    </row>
    <row r="58" spans="1:3" x14ac:dyDescent="0.2">
      <c r="A58" s="22" t="s">
        <v>151</v>
      </c>
      <c r="B58" s="21">
        <f>(+B12*3%)/12</f>
        <v>1188.1699999999998</v>
      </c>
      <c r="C58" s="11" t="s">
        <v>130</v>
      </c>
    </row>
    <row r="59" spans="1:3" x14ac:dyDescent="0.2">
      <c r="A59" s="22" t="s">
        <v>150</v>
      </c>
      <c r="B59" s="21">
        <f>(213.84+(+G12*1%))/12</f>
        <v>363.87666666666672</v>
      </c>
      <c r="C59" s="11" t="s">
        <v>130</v>
      </c>
    </row>
    <row r="60" spans="1:3" x14ac:dyDescent="0.2">
      <c r="A60" s="11" t="s">
        <v>82</v>
      </c>
      <c r="B60" s="33">
        <f>+B58+B59</f>
        <v>1552.0466666666666</v>
      </c>
      <c r="C60" s="11" t="s">
        <v>130</v>
      </c>
    </row>
    <row r="62" spans="1:3" x14ac:dyDescent="0.2">
      <c r="A62" s="25" t="s">
        <v>419</v>
      </c>
      <c r="B62" s="26">
        <f>B60+B54+B43+B36+B29+B22+B16</f>
        <v>20822.721621887958</v>
      </c>
      <c r="C62" s="29" t="s">
        <v>130</v>
      </c>
    </row>
    <row r="63" spans="1:3" hidden="1" x14ac:dyDescent="0.2"/>
    <row r="64" spans="1:3" hidden="1" x14ac:dyDescent="0.2">
      <c r="A64" s="25" t="s">
        <v>420</v>
      </c>
      <c r="B64" s="171">
        <f>B29+B36+B54</f>
        <v>3269.9856218879613</v>
      </c>
      <c r="C64" s="25" t="s">
        <v>130</v>
      </c>
    </row>
    <row r="66" spans="2:2" x14ac:dyDescent="0.2">
      <c r="B66" s="67"/>
    </row>
  </sheetData>
  <mergeCells count="3">
    <mergeCell ref="A1:B1"/>
    <mergeCell ref="A2:B2"/>
    <mergeCell ref="A6:B6"/>
  </mergeCells>
  <printOptions horizontalCentered="1"/>
  <pageMargins left="0.78740157480314965" right="0.78740157480314965" top="0.98425196850393704" bottom="0.98425196850393704" header="0.31496062992125984" footer="0.27559055118110237"/>
  <pageSetup paperSize="9" scale="86" orientation="portrait" r:id="rId1"/>
  <headerFooter>
    <oddHeader>&amp;L&amp;G</oddHeader>
    <oddFooter>&amp;C&amp;"Calibri,Regular"&amp;8CNPJ: 41.244.542/0001-97
Cabo Corporate Center – Torre Aníbal Cardoso 
Rua Cento e Sessenta e Três, 226 – sala 405  -  Cabo de Santo Agostinho– PE  - CEP:  54518-430  
Tel.: (81) 3076-0018  / e-mail: nrjambiental05@gmail.com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6"/>
  <sheetViews>
    <sheetView view="pageBreakPreview" topLeftCell="A32" workbookViewId="0">
      <selection activeCell="E5" sqref="E1:P1048576"/>
    </sheetView>
  </sheetViews>
  <sheetFormatPr defaultColWidth="12" defaultRowHeight="12.75" x14ac:dyDescent="0.2"/>
  <cols>
    <col min="1" max="1" width="57.33203125" style="11" customWidth="1"/>
    <col min="2" max="2" width="17.83203125" style="11" customWidth="1"/>
    <col min="3" max="4" width="12" style="11" customWidth="1"/>
    <col min="5" max="5" width="14.6640625" style="11" hidden="1" customWidth="1"/>
    <col min="6" max="6" width="13.33203125" style="11" hidden="1" customWidth="1"/>
    <col min="7" max="7" width="14" style="59" hidden="1" customWidth="1"/>
    <col min="8" max="14" width="0" style="11" hidden="1" customWidth="1"/>
    <col min="15" max="15" width="0" style="59" hidden="1" customWidth="1"/>
    <col min="16" max="16" width="0" style="11" hidden="1" customWidth="1"/>
    <col min="17" max="16384" width="12" style="11"/>
  </cols>
  <sheetData>
    <row r="1" spans="1:15" ht="18.75" hidden="1" x14ac:dyDescent="0.3">
      <c r="A1" s="335" t="s">
        <v>215</v>
      </c>
      <c r="B1" s="335"/>
      <c r="C1" s="9"/>
      <c r="D1" s="9"/>
      <c r="E1" s="9"/>
      <c r="F1" s="10"/>
    </row>
    <row r="2" spans="1:15" ht="18" hidden="1" customHeight="1" x14ac:dyDescent="0.25">
      <c r="A2" s="335"/>
      <c r="B2" s="335"/>
      <c r="C2" s="9"/>
      <c r="D2" s="9"/>
      <c r="E2" s="9"/>
      <c r="F2" s="12"/>
    </row>
    <row r="3" spans="1:15" hidden="1" x14ac:dyDescent="0.2">
      <c r="A3" s="13"/>
      <c r="B3" s="13"/>
      <c r="C3" s="13"/>
      <c r="D3" s="13"/>
      <c r="E3" s="13"/>
      <c r="F3" s="13"/>
    </row>
    <row r="4" spans="1:15" hidden="1" x14ac:dyDescent="0.2">
      <c r="A4" s="14" t="s">
        <v>217</v>
      </c>
      <c r="B4" s="14" t="s">
        <v>211</v>
      </c>
      <c r="C4" s="13"/>
      <c r="E4" s="13"/>
      <c r="F4" s="13"/>
    </row>
    <row r="5" spans="1:15" x14ac:dyDescent="0.2">
      <c r="A5" s="12"/>
      <c r="B5" s="13"/>
      <c r="C5" s="13"/>
      <c r="D5" s="13"/>
      <c r="E5" s="13"/>
    </row>
    <row r="6" spans="1:15" x14ac:dyDescent="0.2">
      <c r="A6" s="336" t="s">
        <v>0</v>
      </c>
      <c r="B6" s="336"/>
      <c r="C6" s="15"/>
      <c r="D6" s="15"/>
      <c r="E6" s="15"/>
    </row>
    <row r="7" spans="1:15" x14ac:dyDescent="0.2">
      <c r="A7" s="16"/>
      <c r="B7" s="16"/>
      <c r="C7" s="16"/>
      <c r="D7" s="16"/>
    </row>
    <row r="8" spans="1:15" x14ac:dyDescent="0.2">
      <c r="A8" s="17" t="s">
        <v>288</v>
      </c>
      <c r="B8" s="18"/>
      <c r="C8" s="18"/>
      <c r="D8" s="18"/>
    </row>
    <row r="9" spans="1:15" x14ac:dyDescent="0.2">
      <c r="A9" s="16"/>
      <c r="B9" s="16"/>
      <c r="C9" s="16"/>
      <c r="D9" s="16"/>
    </row>
    <row r="10" spans="1:15" x14ac:dyDescent="0.2">
      <c r="A10" s="34" t="s">
        <v>15</v>
      </c>
    </row>
    <row r="12" spans="1:15" x14ac:dyDescent="0.2">
      <c r="A12" s="20" t="s">
        <v>149</v>
      </c>
      <c r="B12" s="21">
        <f>M17</f>
        <v>118788.86572800006</v>
      </c>
      <c r="C12" s="11" t="s">
        <v>37</v>
      </c>
      <c r="E12" s="1" t="s">
        <v>711</v>
      </c>
      <c r="F12" s="1" t="s">
        <v>712</v>
      </c>
      <c r="G12" s="65">
        <v>527035</v>
      </c>
      <c r="I12" t="s">
        <v>522</v>
      </c>
      <c r="J12" t="s">
        <v>523</v>
      </c>
      <c r="K12" s="185" t="s">
        <v>524</v>
      </c>
      <c r="L12" t="s">
        <v>525</v>
      </c>
      <c r="M12" t="s">
        <v>526</v>
      </c>
    </row>
    <row r="13" spans="1:15" x14ac:dyDescent="0.2">
      <c r="A13" s="20" t="s">
        <v>16</v>
      </c>
      <c r="B13" s="21">
        <v>12</v>
      </c>
      <c r="C13" s="11" t="s">
        <v>55</v>
      </c>
      <c r="F13" s="11" t="s">
        <v>226</v>
      </c>
      <c r="G13" s="59">
        <f>60121.6*1.1129</f>
        <v>66909.328639999992</v>
      </c>
      <c r="I13">
        <v>1</v>
      </c>
      <c r="J13" s="185">
        <f>$G$14</f>
        <v>593944.32863999996</v>
      </c>
      <c r="K13" s="185">
        <f>SLN($G$14,$B$15,$G$15)</f>
        <v>95031.092582399986</v>
      </c>
      <c r="L13" s="185">
        <f>K13</f>
        <v>95031.092582399986</v>
      </c>
      <c r="M13" s="185">
        <f>J13-L13</f>
        <v>498913.23605760001</v>
      </c>
      <c r="O13" s="59">
        <f>(G19/G14)*100</f>
        <v>0</v>
      </c>
    </row>
    <row r="14" spans="1:15" x14ac:dyDescent="0.2">
      <c r="A14" s="20" t="s">
        <v>17</v>
      </c>
      <c r="B14" s="60">
        <v>0.2</v>
      </c>
      <c r="G14" s="59">
        <f>SUM(G12:G13)</f>
        <v>593944.32863999996</v>
      </c>
      <c r="I14">
        <v>2</v>
      </c>
      <c r="J14" s="185">
        <f>$G$14</f>
        <v>593944.32863999996</v>
      </c>
      <c r="K14" s="185">
        <f>SLN($G$14,$B$15,$G$15)</f>
        <v>95031.092582399986</v>
      </c>
      <c r="L14" s="185">
        <f>K14+L13</f>
        <v>190062.18516479997</v>
      </c>
      <c r="M14" s="185">
        <f>J14-L14</f>
        <v>403882.14347519999</v>
      </c>
      <c r="O14" s="59">
        <f>($G$19/M13)*100</f>
        <v>0</v>
      </c>
    </row>
    <row r="15" spans="1:15" x14ac:dyDescent="0.2">
      <c r="A15" s="20" t="s">
        <v>224</v>
      </c>
      <c r="B15" s="23">
        <f>G14*B14</f>
        <v>118788.865728</v>
      </c>
      <c r="G15" s="11">
        <v>5</v>
      </c>
      <c r="I15">
        <v>3</v>
      </c>
      <c r="J15" s="185">
        <f>$G$14</f>
        <v>593944.32863999996</v>
      </c>
      <c r="K15" s="185">
        <f>SLN($G$14,$B$15,$G$15)</f>
        <v>95031.092582399986</v>
      </c>
      <c r="L15" s="185">
        <f>K15+L14</f>
        <v>285093.27774719999</v>
      </c>
      <c r="M15" s="185">
        <f>J15-L15</f>
        <v>308851.05089279998</v>
      </c>
      <c r="O15" s="59">
        <f>($G$19/M14)*100</f>
        <v>0</v>
      </c>
    </row>
    <row r="16" spans="1:15" x14ac:dyDescent="0.2">
      <c r="A16" s="11" t="s">
        <v>223</v>
      </c>
      <c r="B16" s="21">
        <f>(B12-B15)/B13</f>
        <v>4.850638409455617E-12</v>
      </c>
      <c r="C16" s="11" t="s">
        <v>130</v>
      </c>
      <c r="I16">
        <v>4</v>
      </c>
      <c r="J16" s="185">
        <f>$G$14</f>
        <v>593944.32863999996</v>
      </c>
      <c r="K16" s="185">
        <f>SLN($G$14,$B$15,$G$15)</f>
        <v>95031.092582399986</v>
      </c>
      <c r="L16" s="185">
        <f>K16+L15</f>
        <v>380124.37032959994</v>
      </c>
      <c r="M16" s="185">
        <f>J16-L16</f>
        <v>213819.95831040002</v>
      </c>
      <c r="O16" s="59">
        <f>($G$19/M15)*100</f>
        <v>0</v>
      </c>
    </row>
    <row r="17" spans="1:15" x14ac:dyDescent="0.2">
      <c r="I17">
        <v>5</v>
      </c>
      <c r="J17" s="185">
        <f>$G$14</f>
        <v>593944.32863999996</v>
      </c>
      <c r="K17" s="185">
        <f>SLN($G$14,$B$15,$G$15)</f>
        <v>95031.092582399986</v>
      </c>
      <c r="L17" s="185">
        <f>K17+L16</f>
        <v>475155.4629119999</v>
      </c>
      <c r="M17" s="185">
        <f>J17-L17</f>
        <v>118788.86572800006</v>
      </c>
      <c r="O17" s="59">
        <f>($G$19/M16)*100</f>
        <v>0</v>
      </c>
    </row>
    <row r="18" spans="1:15" x14ac:dyDescent="0.2">
      <c r="A18" s="19" t="s">
        <v>18</v>
      </c>
      <c r="O18" s="59">
        <f>($G$19/M17)*100</f>
        <v>0</v>
      </c>
    </row>
    <row r="19" spans="1:15" x14ac:dyDescent="0.2">
      <c r="E19" s="67"/>
    </row>
    <row r="20" spans="1:15" x14ac:dyDescent="0.2">
      <c r="A20" s="61" t="s">
        <v>19</v>
      </c>
      <c r="B20" s="16">
        <f>+B12</f>
        <v>118788.86572800006</v>
      </c>
      <c r="C20" s="16" t="s">
        <v>37</v>
      </c>
      <c r="D20" s="16"/>
    </row>
    <row r="21" spans="1:15" x14ac:dyDescent="0.2">
      <c r="A21" s="61" t="s">
        <v>539</v>
      </c>
      <c r="B21" s="187">
        <v>0.14249999999999999</v>
      </c>
      <c r="C21" s="16"/>
      <c r="D21" s="16"/>
    </row>
    <row r="22" spans="1:15" x14ac:dyDescent="0.2">
      <c r="A22" s="61" t="s">
        <v>21</v>
      </c>
      <c r="B22" s="16">
        <f>((B12-B15)*B21)/12</f>
        <v>6.9121597334742537E-13</v>
      </c>
      <c r="C22" s="16" t="s">
        <v>130</v>
      </c>
      <c r="D22" s="16"/>
    </row>
    <row r="23" spans="1:15" x14ac:dyDescent="0.2">
      <c r="A23" s="16" t="s">
        <v>8</v>
      </c>
      <c r="B23" s="16" t="s">
        <v>8</v>
      </c>
      <c r="C23" s="16" t="s">
        <v>8</v>
      </c>
      <c r="D23" s="16"/>
    </row>
    <row r="24" spans="1:15" x14ac:dyDescent="0.2">
      <c r="A24" s="18" t="s">
        <v>22</v>
      </c>
      <c r="B24" s="16" t="s">
        <v>8</v>
      </c>
      <c r="C24" s="16" t="s">
        <v>8</v>
      </c>
      <c r="D24" s="16" t="s">
        <v>8</v>
      </c>
    </row>
    <row r="26" spans="1:15" x14ac:dyDescent="0.2">
      <c r="A26" s="20" t="s">
        <v>23</v>
      </c>
      <c r="B26" s="21">
        <f>DADOS!D21</f>
        <v>6.24</v>
      </c>
      <c r="C26" s="11" t="s">
        <v>205</v>
      </c>
    </row>
    <row r="27" spans="1:15" x14ac:dyDescent="0.2">
      <c r="A27" s="20" t="s">
        <v>571</v>
      </c>
      <c r="B27" s="21">
        <f>E27*26.08</f>
        <v>788.65919999999994</v>
      </c>
      <c r="C27" s="11" t="s">
        <v>45</v>
      </c>
      <c r="E27" s="11">
        <v>30.24</v>
      </c>
    </row>
    <row r="28" spans="1:15" x14ac:dyDescent="0.2">
      <c r="A28" s="20" t="s">
        <v>24</v>
      </c>
      <c r="B28" s="21">
        <v>2.1</v>
      </c>
      <c r="C28" s="11" t="s">
        <v>206</v>
      </c>
    </row>
    <row r="29" spans="1:15" x14ac:dyDescent="0.2">
      <c r="A29" s="22" t="s">
        <v>25</v>
      </c>
      <c r="B29" s="21">
        <f>+(B27/B28)*B26</f>
        <v>2343.4444799999997</v>
      </c>
      <c r="C29" s="11" t="s">
        <v>130</v>
      </c>
    </row>
    <row r="30" spans="1:15" x14ac:dyDescent="0.2">
      <c r="A30" s="20"/>
      <c r="B30" s="21"/>
    </row>
    <row r="31" spans="1:15" x14ac:dyDescent="0.2">
      <c r="A31" s="18" t="s">
        <v>26</v>
      </c>
      <c r="B31" s="16" t="s">
        <v>8</v>
      </c>
    </row>
    <row r="33" spans="1:9" x14ac:dyDescent="0.2">
      <c r="A33" s="20" t="s">
        <v>94</v>
      </c>
      <c r="B33" s="21">
        <f>(2974.9)*6</f>
        <v>17849.400000000001</v>
      </c>
      <c r="C33" s="11" t="s">
        <v>37</v>
      </c>
    </row>
    <row r="34" spans="1:9" x14ac:dyDescent="0.2">
      <c r="A34" s="20" t="s">
        <v>27</v>
      </c>
      <c r="B34" s="21">
        <v>50000</v>
      </c>
      <c r="C34" s="11" t="s">
        <v>45</v>
      </c>
    </row>
    <row r="35" spans="1:9" x14ac:dyDescent="0.2">
      <c r="A35" s="20" t="s">
        <v>459</v>
      </c>
      <c r="B35" s="21">
        <f>B27</f>
        <v>788.65919999999994</v>
      </c>
      <c r="C35" s="11" t="s">
        <v>207</v>
      </c>
      <c r="I35" s="186"/>
    </row>
    <row r="36" spans="1:9" x14ac:dyDescent="0.2">
      <c r="A36" s="20" t="s">
        <v>28</v>
      </c>
      <c r="B36" s="21">
        <f>+(B33*B35)/B34</f>
        <v>281.5418704896</v>
      </c>
      <c r="C36" s="11" t="s">
        <v>130</v>
      </c>
      <c r="I36" s="186"/>
    </row>
    <row r="37" spans="1:9" x14ac:dyDescent="0.2">
      <c r="A37" s="20"/>
      <c r="B37" s="21"/>
      <c r="I37" s="186"/>
    </row>
    <row r="38" spans="1:9" x14ac:dyDescent="0.2">
      <c r="A38" s="19" t="s">
        <v>566</v>
      </c>
      <c r="I38" s="186"/>
    </row>
    <row r="39" spans="1:9" x14ac:dyDescent="0.2">
      <c r="A39" s="20" t="s">
        <v>7</v>
      </c>
      <c r="I39" s="186"/>
    </row>
    <row r="40" spans="1:9" x14ac:dyDescent="0.2">
      <c r="A40" s="20" t="s">
        <v>30</v>
      </c>
      <c r="B40" s="60">
        <v>0.65</v>
      </c>
      <c r="E40" s="186"/>
      <c r="I40" s="186"/>
    </row>
    <row r="41" spans="1:9" x14ac:dyDescent="0.2">
      <c r="A41" s="20" t="s">
        <v>553</v>
      </c>
      <c r="B41" s="24">
        <f>G14</f>
        <v>593944.32863999996</v>
      </c>
      <c r="C41" s="11" t="s">
        <v>37</v>
      </c>
      <c r="I41" s="186"/>
    </row>
    <row r="42" spans="1:9" x14ac:dyDescent="0.2">
      <c r="A42" s="20" t="s">
        <v>32</v>
      </c>
      <c r="B42" s="21">
        <v>60</v>
      </c>
      <c r="C42" s="11" t="s">
        <v>55</v>
      </c>
      <c r="I42" s="186"/>
    </row>
    <row r="43" spans="1:9" x14ac:dyDescent="0.2">
      <c r="A43" s="20" t="s">
        <v>33</v>
      </c>
      <c r="B43" s="21">
        <f>+(B40*B41)/B42</f>
        <v>6434.3968936000001</v>
      </c>
      <c r="C43" s="11" t="s">
        <v>130</v>
      </c>
      <c r="I43" s="186"/>
    </row>
    <row r="44" spans="1:9" x14ac:dyDescent="0.2">
      <c r="I44" s="186"/>
    </row>
    <row r="45" spans="1:9" x14ac:dyDescent="0.2">
      <c r="A45" s="63" t="s">
        <v>74</v>
      </c>
      <c r="B45" s="21"/>
      <c r="I45" s="186"/>
    </row>
    <row r="46" spans="1:9" x14ac:dyDescent="0.2">
      <c r="A46" s="20"/>
      <c r="B46" s="21"/>
      <c r="I46" s="186"/>
    </row>
    <row r="47" spans="1:9" x14ac:dyDescent="0.2">
      <c r="A47" s="22" t="s">
        <v>179</v>
      </c>
      <c r="B47" s="21">
        <f>LUBRIF!F7*((LUBRIF!F4/LUBRIF!F8)+(((1/1000)/1000)))*B27</f>
        <v>31.696004647641601</v>
      </c>
      <c r="C47" s="11" t="s">
        <v>130</v>
      </c>
      <c r="I47" s="186"/>
    </row>
    <row r="48" spans="1:9" x14ac:dyDescent="0.2">
      <c r="A48" s="22" t="s">
        <v>800</v>
      </c>
      <c r="B48" s="21">
        <f>(LUBRIF!F17+LUBRIF!F23)*B27</f>
        <v>34.72931766528</v>
      </c>
      <c r="C48" s="11" t="s">
        <v>130</v>
      </c>
    </row>
    <row r="49" spans="1:3" x14ac:dyDescent="0.2">
      <c r="A49" s="22" t="s">
        <v>801</v>
      </c>
      <c r="B49" s="21"/>
      <c r="C49" s="11" t="s">
        <v>130</v>
      </c>
    </row>
    <row r="50" spans="1:3" x14ac:dyDescent="0.2">
      <c r="A50" s="22" t="s">
        <v>802</v>
      </c>
      <c r="B50" s="21">
        <f>0.0015*B27</f>
        <v>1.1829888</v>
      </c>
      <c r="C50" s="11" t="s">
        <v>130</v>
      </c>
    </row>
    <row r="51" spans="1:3" x14ac:dyDescent="0.2">
      <c r="A51" s="22" t="s">
        <v>803</v>
      </c>
      <c r="B51" s="21">
        <f>LUBRIF!F28*B27</f>
        <v>75.652133759999998</v>
      </c>
      <c r="C51" s="11" t="s">
        <v>130</v>
      </c>
    </row>
    <row r="52" spans="1:3" x14ac:dyDescent="0.2">
      <c r="A52" s="22" t="s">
        <v>804</v>
      </c>
      <c r="B52" s="21">
        <f>15*40</f>
        <v>600</v>
      </c>
      <c r="C52" s="11" t="s">
        <v>130</v>
      </c>
    </row>
    <row r="53" spans="1:3" x14ac:dyDescent="0.2">
      <c r="A53" s="22" t="s">
        <v>805</v>
      </c>
      <c r="B53" s="21">
        <f>0.03*B29</f>
        <v>70.303334399999983</v>
      </c>
      <c r="C53" s="11" t="s">
        <v>130</v>
      </c>
    </row>
    <row r="54" spans="1:3" x14ac:dyDescent="0.2">
      <c r="A54" s="22" t="s">
        <v>806</v>
      </c>
      <c r="B54" s="64">
        <f>+B47+B48+B49+B50+B51+B52+B53</f>
        <v>813.56377927292169</v>
      </c>
      <c r="C54" s="11" t="s">
        <v>130</v>
      </c>
    </row>
    <row r="55" spans="1:3" x14ac:dyDescent="0.2">
      <c r="A55" s="22"/>
      <c r="B55" s="21"/>
    </row>
    <row r="56" spans="1:3" x14ac:dyDescent="0.2">
      <c r="A56" s="63" t="s">
        <v>81</v>
      </c>
      <c r="B56" s="21"/>
    </row>
    <row r="57" spans="1:3" x14ac:dyDescent="0.2">
      <c r="A57" s="22"/>
      <c r="B57" s="21"/>
    </row>
    <row r="58" spans="1:3" x14ac:dyDescent="0.2">
      <c r="A58" s="22" t="s">
        <v>151</v>
      </c>
      <c r="B58" s="21">
        <f>(+B12*3%)/12</f>
        <v>296.97216432000016</v>
      </c>
      <c r="C58" s="11" t="s">
        <v>130</v>
      </c>
    </row>
    <row r="59" spans="1:3" x14ac:dyDescent="0.2">
      <c r="A59" s="22" t="s">
        <v>150</v>
      </c>
      <c r="B59" s="21">
        <f>(213.84+(+B12*1%))/12</f>
        <v>116.81072144000005</v>
      </c>
      <c r="C59" s="11" t="s">
        <v>130</v>
      </c>
    </row>
    <row r="60" spans="1:3" x14ac:dyDescent="0.2">
      <c r="A60" s="11" t="s">
        <v>82</v>
      </c>
      <c r="B60" s="33">
        <f>+B58+B59</f>
        <v>413.78288576000023</v>
      </c>
      <c r="C60" s="11" t="s">
        <v>130</v>
      </c>
    </row>
    <row r="62" spans="1:3" x14ac:dyDescent="0.2">
      <c r="A62" s="25" t="s">
        <v>419</v>
      </c>
      <c r="B62" s="26">
        <f>B60+B54+B43+B36+B29+B22+B16</f>
        <v>10286.729909122527</v>
      </c>
      <c r="C62" s="29" t="s">
        <v>130</v>
      </c>
    </row>
    <row r="63" spans="1:3" hidden="1" x14ac:dyDescent="0.2"/>
    <row r="64" spans="1:3" hidden="1" x14ac:dyDescent="0.2">
      <c r="A64" s="25" t="s">
        <v>420</v>
      </c>
      <c r="B64" s="171">
        <f>B29+B36+B54</f>
        <v>3438.5501297625215</v>
      </c>
      <c r="C64" s="25" t="s">
        <v>130</v>
      </c>
    </row>
    <row r="66" spans="2:2" x14ac:dyDescent="0.2">
      <c r="B66" s="67"/>
    </row>
  </sheetData>
  <mergeCells count="3">
    <mergeCell ref="A1:B1"/>
    <mergeCell ref="A2:B2"/>
    <mergeCell ref="A6:B6"/>
  </mergeCells>
  <phoneticPr fontId="0" type="noConversion"/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D5609-0A14-4353-8C34-AC66230AC313}">
  <dimension ref="A1:O66"/>
  <sheetViews>
    <sheetView view="pageBreakPreview" topLeftCell="A32" zoomScaleNormal="100" zoomScaleSheetLayoutView="100" workbookViewId="0">
      <selection activeCell="E5" sqref="E1:Q1048576"/>
    </sheetView>
  </sheetViews>
  <sheetFormatPr defaultColWidth="12" defaultRowHeight="12.75" x14ac:dyDescent="0.2"/>
  <cols>
    <col min="1" max="1" width="57.33203125" style="11" customWidth="1"/>
    <col min="2" max="2" width="17.83203125" style="11" customWidth="1"/>
    <col min="3" max="4" width="12" style="11"/>
    <col min="5" max="5" width="16.83203125" style="11" hidden="1" customWidth="1"/>
    <col min="6" max="6" width="13.33203125" style="11" hidden="1" customWidth="1"/>
    <col min="7" max="7" width="14" style="59" hidden="1" customWidth="1"/>
    <col min="8" max="14" width="0" style="11" hidden="1" customWidth="1"/>
    <col min="15" max="15" width="0" style="59" hidden="1" customWidth="1"/>
    <col min="16" max="17" width="0" style="11" hidden="1" customWidth="1"/>
    <col min="18" max="16384" width="12" style="11"/>
  </cols>
  <sheetData>
    <row r="1" spans="1:15" ht="18.75" hidden="1" x14ac:dyDescent="0.3">
      <c r="A1" s="335" t="s">
        <v>215</v>
      </c>
      <c r="B1" s="335"/>
      <c r="C1" s="9"/>
      <c r="D1" s="9"/>
      <c r="E1" s="9"/>
      <c r="F1" s="10"/>
    </row>
    <row r="2" spans="1:15" ht="18" hidden="1" customHeight="1" x14ac:dyDescent="0.25">
      <c r="A2" s="335"/>
      <c r="B2" s="335"/>
      <c r="C2" s="9"/>
      <c r="D2" s="9"/>
      <c r="E2" s="9"/>
      <c r="F2" s="12"/>
    </row>
    <row r="3" spans="1:15" hidden="1" x14ac:dyDescent="0.2">
      <c r="A3" s="13"/>
      <c r="B3" s="13"/>
      <c r="C3" s="13"/>
      <c r="D3" s="13"/>
      <c r="E3" s="13"/>
      <c r="F3" s="13"/>
    </row>
    <row r="4" spans="1:15" hidden="1" x14ac:dyDescent="0.2">
      <c r="A4" s="14" t="s">
        <v>217</v>
      </c>
      <c r="B4" s="14" t="s">
        <v>211</v>
      </c>
      <c r="C4" s="13"/>
      <c r="E4" s="13"/>
      <c r="F4" s="13"/>
    </row>
    <row r="5" spans="1:15" x14ac:dyDescent="0.2">
      <c r="A5" s="12"/>
      <c r="B5" s="13"/>
      <c r="C5" s="13"/>
      <c r="D5" s="13"/>
      <c r="E5" s="13"/>
    </row>
    <row r="6" spans="1:15" x14ac:dyDescent="0.2">
      <c r="A6" s="336" t="s">
        <v>0</v>
      </c>
      <c r="B6" s="336"/>
      <c r="C6" s="15"/>
      <c r="D6" s="15"/>
      <c r="E6" s="15"/>
    </row>
    <row r="7" spans="1:15" x14ac:dyDescent="0.2">
      <c r="A7" s="16"/>
      <c r="B7" s="16"/>
      <c r="C7" s="16"/>
      <c r="D7" s="16"/>
    </row>
    <row r="8" spans="1:15" x14ac:dyDescent="0.2">
      <c r="A8" s="17" t="s">
        <v>572</v>
      </c>
      <c r="B8" s="18"/>
      <c r="C8" s="18"/>
      <c r="D8" s="18"/>
    </row>
    <row r="9" spans="1:15" x14ac:dyDescent="0.2">
      <c r="A9" s="16"/>
      <c r="B9" s="16"/>
      <c r="C9" s="16"/>
      <c r="D9" s="16"/>
    </row>
    <row r="10" spans="1:15" x14ac:dyDescent="0.2">
      <c r="A10" s="34" t="s">
        <v>15</v>
      </c>
    </row>
    <row r="12" spans="1:15" x14ac:dyDescent="0.2">
      <c r="A12" s="20" t="s">
        <v>149</v>
      </c>
      <c r="B12" s="21">
        <f>M17</f>
        <v>135250.10800000001</v>
      </c>
      <c r="C12" s="11" t="s">
        <v>37</v>
      </c>
      <c r="E12" s="1" t="s">
        <v>713</v>
      </c>
      <c r="F12" s="1" t="s">
        <v>225</v>
      </c>
      <c r="G12" s="65">
        <v>595454</v>
      </c>
      <c r="I12" t="s">
        <v>522</v>
      </c>
      <c r="J12" t="s">
        <v>523</v>
      </c>
      <c r="K12" s="185" t="s">
        <v>524</v>
      </c>
      <c r="L12" t="s">
        <v>525</v>
      </c>
      <c r="M12" t="s">
        <v>526</v>
      </c>
    </row>
    <row r="13" spans="1:15" x14ac:dyDescent="0.2">
      <c r="A13" s="20" t="s">
        <v>16</v>
      </c>
      <c r="B13" s="21">
        <v>12</v>
      </c>
      <c r="C13" s="11" t="s">
        <v>55</v>
      </c>
      <c r="F13" s="11" t="s">
        <v>226</v>
      </c>
      <c r="G13" s="59">
        <f>72600*1.1129</f>
        <v>80796.539999999994</v>
      </c>
      <c r="I13">
        <v>1</v>
      </c>
      <c r="J13" s="185">
        <f>$G$14</f>
        <v>676250.54</v>
      </c>
      <c r="K13" s="185">
        <f>SLN($G$14,$B$15,$G$15)</f>
        <v>108200.0864</v>
      </c>
      <c r="L13" s="185">
        <f>K13</f>
        <v>108200.0864</v>
      </c>
      <c r="M13" s="185">
        <f>J13-L13</f>
        <v>568050.45360000001</v>
      </c>
      <c r="O13" s="59">
        <f>(G19/G14)*100</f>
        <v>0</v>
      </c>
    </row>
    <row r="14" spans="1:15" x14ac:dyDescent="0.2">
      <c r="A14" s="20" t="s">
        <v>17</v>
      </c>
      <c r="B14" s="60">
        <v>0.2</v>
      </c>
      <c r="G14" s="59">
        <f>SUM(G12:G13)</f>
        <v>676250.54</v>
      </c>
      <c r="I14">
        <v>2</v>
      </c>
      <c r="J14" s="185">
        <f>$G$14</f>
        <v>676250.54</v>
      </c>
      <c r="K14" s="185">
        <f>SLN($G$14,$B$15,$G$15)</f>
        <v>108200.0864</v>
      </c>
      <c r="L14" s="185">
        <f>K14+L13</f>
        <v>216400.1728</v>
      </c>
      <c r="M14" s="185">
        <f>J14-L14</f>
        <v>459850.36720000004</v>
      </c>
      <c r="O14" s="59">
        <f>($G$19/M13)*100</f>
        <v>0</v>
      </c>
    </row>
    <row r="15" spans="1:15" x14ac:dyDescent="0.2">
      <c r="A15" s="20" t="s">
        <v>224</v>
      </c>
      <c r="B15" s="23">
        <f>G14*B14</f>
        <v>135250.10800000001</v>
      </c>
      <c r="G15" s="11">
        <v>5</v>
      </c>
      <c r="I15">
        <v>3</v>
      </c>
      <c r="J15" s="185">
        <f>$G$14</f>
        <v>676250.54</v>
      </c>
      <c r="K15" s="185">
        <f>SLN($G$14,$B$15,$G$15)</f>
        <v>108200.0864</v>
      </c>
      <c r="L15" s="185">
        <f>K15+L14</f>
        <v>324600.25919999997</v>
      </c>
      <c r="M15" s="185">
        <f>J15-L15</f>
        <v>351650.28080000007</v>
      </c>
      <c r="O15" s="59">
        <f>($G$19/M14)*100</f>
        <v>0</v>
      </c>
    </row>
    <row r="16" spans="1:15" x14ac:dyDescent="0.2">
      <c r="A16" s="11" t="s">
        <v>223</v>
      </c>
      <c r="B16" s="21">
        <f>(B12-B15)/B13</f>
        <v>0</v>
      </c>
      <c r="C16" s="11" t="s">
        <v>130</v>
      </c>
      <c r="I16">
        <v>4</v>
      </c>
      <c r="J16" s="185">
        <f>$G$14</f>
        <v>676250.54</v>
      </c>
      <c r="K16" s="185">
        <f>SLN($G$14,$B$15,$G$15)</f>
        <v>108200.0864</v>
      </c>
      <c r="L16" s="185">
        <f>K16+L15</f>
        <v>432800.3456</v>
      </c>
      <c r="M16" s="185">
        <f>J16-L16</f>
        <v>243450.19440000004</v>
      </c>
      <c r="O16" s="59">
        <f>($G$19/M15)*100</f>
        <v>0</v>
      </c>
    </row>
    <row r="17" spans="1:15" x14ac:dyDescent="0.2">
      <c r="I17">
        <v>5</v>
      </c>
      <c r="J17" s="185">
        <f>$G$14</f>
        <v>676250.54</v>
      </c>
      <c r="K17" s="185">
        <f>SLN($G$14,$B$15,$G$15)</f>
        <v>108200.0864</v>
      </c>
      <c r="L17" s="185">
        <f>K17+L16</f>
        <v>541000.43200000003</v>
      </c>
      <c r="M17" s="185">
        <f>J17-L17</f>
        <v>135250.10800000001</v>
      </c>
      <c r="O17" s="59">
        <f>($G$19/M16)*100</f>
        <v>0</v>
      </c>
    </row>
    <row r="18" spans="1:15" x14ac:dyDescent="0.2">
      <c r="A18" s="19" t="s">
        <v>18</v>
      </c>
      <c r="O18" s="59">
        <f>($G$19/M17)*100</f>
        <v>0</v>
      </c>
    </row>
    <row r="19" spans="1:15" x14ac:dyDescent="0.2">
      <c r="E19" s="67"/>
    </row>
    <row r="20" spans="1:15" x14ac:dyDescent="0.2">
      <c r="A20" s="61" t="s">
        <v>19</v>
      </c>
      <c r="B20" s="16">
        <f>+B12</f>
        <v>135250.10800000001</v>
      </c>
      <c r="C20" s="16" t="s">
        <v>37</v>
      </c>
      <c r="D20" s="16"/>
    </row>
    <row r="21" spans="1:15" x14ac:dyDescent="0.2">
      <c r="A21" s="61" t="s">
        <v>539</v>
      </c>
      <c r="B21" s="187">
        <f>'BASCULANTE 6'!B21</f>
        <v>0.14249999999999999</v>
      </c>
      <c r="C21" s="16"/>
      <c r="D21" s="16"/>
    </row>
    <row r="22" spans="1:15" x14ac:dyDescent="0.2">
      <c r="A22" s="61" t="s">
        <v>21</v>
      </c>
      <c r="B22" s="16">
        <f>((B12-B15)*B21)/12</f>
        <v>0</v>
      </c>
      <c r="C22" s="16" t="s">
        <v>130</v>
      </c>
      <c r="D22" s="16"/>
    </row>
    <row r="23" spans="1:15" x14ac:dyDescent="0.2">
      <c r="A23" s="16" t="s">
        <v>8</v>
      </c>
      <c r="B23" s="16" t="s">
        <v>8</v>
      </c>
      <c r="C23" s="16" t="s">
        <v>8</v>
      </c>
      <c r="D23" s="16"/>
    </row>
    <row r="24" spans="1:15" x14ac:dyDescent="0.2">
      <c r="A24" s="18" t="s">
        <v>22</v>
      </c>
      <c r="B24" s="16" t="s">
        <v>8</v>
      </c>
      <c r="C24" s="16" t="s">
        <v>8</v>
      </c>
      <c r="D24" s="16" t="s">
        <v>8</v>
      </c>
    </row>
    <row r="26" spans="1:15" x14ac:dyDescent="0.2">
      <c r="A26" s="20" t="s">
        <v>23</v>
      </c>
      <c r="B26" s="21">
        <f>DADOS!D21</f>
        <v>6.24</v>
      </c>
      <c r="C26" s="11" t="s">
        <v>205</v>
      </c>
    </row>
    <row r="27" spans="1:15" x14ac:dyDescent="0.2">
      <c r="A27" s="20" t="s">
        <v>570</v>
      </c>
      <c r="B27" s="21">
        <f>E27*26.08</f>
        <v>788.65919999999994</v>
      </c>
      <c r="C27" s="11" t="s">
        <v>45</v>
      </c>
      <c r="E27" s="11">
        <v>30.24</v>
      </c>
    </row>
    <row r="28" spans="1:15" x14ac:dyDescent="0.2">
      <c r="A28" s="20" t="s">
        <v>24</v>
      </c>
      <c r="B28" s="21">
        <v>2.1</v>
      </c>
      <c r="C28" s="11" t="s">
        <v>206</v>
      </c>
    </row>
    <row r="29" spans="1:15" x14ac:dyDescent="0.2">
      <c r="A29" s="22" t="s">
        <v>25</v>
      </c>
      <c r="B29" s="21">
        <f>+(B27/B28)*B26</f>
        <v>2343.4444799999997</v>
      </c>
      <c r="C29" s="11" t="s">
        <v>130</v>
      </c>
    </row>
    <row r="30" spans="1:15" x14ac:dyDescent="0.2">
      <c r="A30" s="20"/>
      <c r="B30" s="21"/>
    </row>
    <row r="31" spans="1:15" x14ac:dyDescent="0.2">
      <c r="A31" s="18" t="s">
        <v>26</v>
      </c>
      <c r="B31" s="16" t="s">
        <v>8</v>
      </c>
    </row>
    <row r="33" spans="1:9" x14ac:dyDescent="0.2">
      <c r="A33" s="20" t="s">
        <v>94</v>
      </c>
      <c r="B33" s="21">
        <f>(2974.9)*10</f>
        <v>29749</v>
      </c>
      <c r="C33" s="11" t="s">
        <v>37</v>
      </c>
    </row>
    <row r="34" spans="1:9" x14ac:dyDescent="0.2">
      <c r="A34" s="20" t="s">
        <v>27</v>
      </c>
      <c r="B34" s="21">
        <v>50000</v>
      </c>
      <c r="C34" s="11" t="s">
        <v>45</v>
      </c>
    </row>
    <row r="35" spans="1:9" x14ac:dyDescent="0.2">
      <c r="A35" s="20" t="s">
        <v>459</v>
      </c>
      <c r="B35" s="21">
        <f>B27</f>
        <v>788.65919999999994</v>
      </c>
      <c r="C35" s="11" t="s">
        <v>207</v>
      </c>
      <c r="I35" s="186"/>
    </row>
    <row r="36" spans="1:9" x14ac:dyDescent="0.2">
      <c r="A36" s="20" t="s">
        <v>28</v>
      </c>
      <c r="B36" s="21">
        <f>+(B33*B35)/B34</f>
        <v>469.23645081599994</v>
      </c>
      <c r="C36" s="11" t="s">
        <v>130</v>
      </c>
      <c r="I36" s="186"/>
    </row>
    <row r="37" spans="1:9" x14ac:dyDescent="0.2">
      <c r="A37" s="20"/>
      <c r="B37" s="21"/>
      <c r="I37" s="186"/>
    </row>
    <row r="38" spans="1:9" x14ac:dyDescent="0.2">
      <c r="A38" s="19" t="s">
        <v>566</v>
      </c>
      <c r="I38" s="186"/>
    </row>
    <row r="39" spans="1:9" x14ac:dyDescent="0.2">
      <c r="A39" s="20" t="s">
        <v>7</v>
      </c>
      <c r="I39" s="186"/>
    </row>
    <row r="40" spans="1:9" x14ac:dyDescent="0.2">
      <c r="A40" s="20" t="s">
        <v>30</v>
      </c>
      <c r="B40" s="60">
        <v>0.65</v>
      </c>
      <c r="E40" s="186"/>
      <c r="I40" s="186"/>
    </row>
    <row r="41" spans="1:9" x14ac:dyDescent="0.2">
      <c r="A41" s="20" t="s">
        <v>553</v>
      </c>
      <c r="B41" s="24">
        <f>G14</f>
        <v>676250.54</v>
      </c>
      <c r="C41" s="11" t="s">
        <v>37</v>
      </c>
      <c r="I41" s="186"/>
    </row>
    <row r="42" spans="1:9" x14ac:dyDescent="0.2">
      <c r="A42" s="20" t="s">
        <v>32</v>
      </c>
      <c r="B42" s="21">
        <v>60</v>
      </c>
      <c r="C42" s="11" t="s">
        <v>55</v>
      </c>
      <c r="I42" s="186"/>
    </row>
    <row r="43" spans="1:9" x14ac:dyDescent="0.2">
      <c r="A43" s="20" t="s">
        <v>33</v>
      </c>
      <c r="B43" s="21">
        <f>+(B40*B41)/B42</f>
        <v>7326.0475166666674</v>
      </c>
      <c r="C43" s="11" t="s">
        <v>130</v>
      </c>
      <c r="I43" s="186"/>
    </row>
    <row r="44" spans="1:9" x14ac:dyDescent="0.2">
      <c r="I44" s="186"/>
    </row>
    <row r="45" spans="1:9" x14ac:dyDescent="0.2">
      <c r="A45" s="63" t="s">
        <v>74</v>
      </c>
      <c r="B45" s="21"/>
      <c r="I45" s="186"/>
    </row>
    <row r="46" spans="1:9" x14ac:dyDescent="0.2">
      <c r="A46" s="20"/>
      <c r="B46" s="21"/>
      <c r="I46" s="186"/>
    </row>
    <row r="47" spans="1:9" x14ac:dyDescent="0.2">
      <c r="A47" s="22" t="s">
        <v>179</v>
      </c>
      <c r="B47" s="21">
        <f>LUBRIF!H7*((LUBRIF!H4/LUBRIF!H8)+(((1/1000)/1000)))*B27</f>
        <v>45.860885799321593</v>
      </c>
      <c r="C47" s="11" t="s">
        <v>130</v>
      </c>
      <c r="I47" s="186"/>
    </row>
    <row r="48" spans="1:9" x14ac:dyDescent="0.2">
      <c r="A48" s="22" t="s">
        <v>800</v>
      </c>
      <c r="B48" s="21">
        <f>(LUBRIF!H17+LUBRIF!H23)*B27</f>
        <v>59.270499187200002</v>
      </c>
      <c r="C48" s="11" t="s">
        <v>130</v>
      </c>
    </row>
    <row r="49" spans="1:3" x14ac:dyDescent="0.2">
      <c r="A49" s="22" t="s">
        <v>801</v>
      </c>
      <c r="B49" s="21"/>
      <c r="C49" s="11" t="s">
        <v>130</v>
      </c>
    </row>
    <row r="50" spans="1:3" x14ac:dyDescent="0.2">
      <c r="A50" s="22" t="s">
        <v>802</v>
      </c>
      <c r="B50" s="21">
        <f>0.0015*B27</f>
        <v>1.1829888</v>
      </c>
      <c r="C50" s="11" t="s">
        <v>130</v>
      </c>
    </row>
    <row r="51" spans="1:3" x14ac:dyDescent="0.2">
      <c r="A51" s="22" t="s">
        <v>803</v>
      </c>
      <c r="B51" s="21">
        <f>LUBRIF!H28*B27</f>
        <v>75.652133759999998</v>
      </c>
      <c r="C51" s="11" t="s">
        <v>130</v>
      </c>
    </row>
    <row r="52" spans="1:3" x14ac:dyDescent="0.2">
      <c r="A52" s="22" t="s">
        <v>804</v>
      </c>
      <c r="B52" s="21">
        <f>15*40</f>
        <v>600</v>
      </c>
      <c r="C52" s="11" t="s">
        <v>130</v>
      </c>
    </row>
    <row r="53" spans="1:3" x14ac:dyDescent="0.2">
      <c r="A53" s="22" t="s">
        <v>805</v>
      </c>
      <c r="B53" s="21">
        <f>0.03*B29</f>
        <v>70.303334399999983</v>
      </c>
      <c r="C53" s="11" t="s">
        <v>130</v>
      </c>
    </row>
    <row r="54" spans="1:3" x14ac:dyDescent="0.2">
      <c r="A54" s="22" t="s">
        <v>806</v>
      </c>
      <c r="B54" s="64">
        <f>+B47+B48+B49+B50+B51+B52+B53</f>
        <v>852.26984194652164</v>
      </c>
      <c r="C54" s="11" t="s">
        <v>130</v>
      </c>
    </row>
    <row r="55" spans="1:3" x14ac:dyDescent="0.2">
      <c r="A55" s="22"/>
      <c r="B55" s="21"/>
    </row>
    <row r="56" spans="1:3" x14ac:dyDescent="0.2">
      <c r="A56" s="63" t="s">
        <v>81</v>
      </c>
      <c r="B56" s="21"/>
    </row>
    <row r="57" spans="1:3" x14ac:dyDescent="0.2">
      <c r="A57" s="22"/>
      <c r="B57" s="21"/>
    </row>
    <row r="58" spans="1:3" x14ac:dyDescent="0.2">
      <c r="A58" s="22" t="s">
        <v>151</v>
      </c>
      <c r="B58" s="21">
        <f>(+B12*3%)/12</f>
        <v>338.12527</v>
      </c>
      <c r="C58" s="11" t="s">
        <v>130</v>
      </c>
    </row>
    <row r="59" spans="1:3" x14ac:dyDescent="0.2">
      <c r="A59" s="22" t="s">
        <v>150</v>
      </c>
      <c r="B59" s="21">
        <f>(213.84+(+B12*1%))/12</f>
        <v>130.52842333333334</v>
      </c>
      <c r="C59" s="11" t="s">
        <v>130</v>
      </c>
    </row>
    <row r="60" spans="1:3" x14ac:dyDescent="0.2">
      <c r="A60" s="11" t="s">
        <v>82</v>
      </c>
      <c r="B60" s="33">
        <f>+B58+B59</f>
        <v>468.65369333333331</v>
      </c>
      <c r="C60" s="11" t="s">
        <v>130</v>
      </c>
    </row>
    <row r="62" spans="1:3" x14ac:dyDescent="0.2">
      <c r="A62" s="25" t="s">
        <v>419</v>
      </c>
      <c r="B62" s="26">
        <f>B60+B54+B43+B36+B29+B22+B16</f>
        <v>11459.651982762523</v>
      </c>
      <c r="C62" s="29" t="s">
        <v>130</v>
      </c>
    </row>
    <row r="63" spans="1:3" hidden="1" x14ac:dyDescent="0.2"/>
    <row r="64" spans="1:3" hidden="1" x14ac:dyDescent="0.2">
      <c r="A64" s="25" t="s">
        <v>420</v>
      </c>
      <c r="B64" s="171">
        <f>B29+B36+B54</f>
        <v>3664.9507727625214</v>
      </c>
      <c r="C64" s="25" t="s">
        <v>130</v>
      </c>
    </row>
    <row r="66" spans="2:2" x14ac:dyDescent="0.2">
      <c r="B66" s="67"/>
    </row>
  </sheetData>
  <mergeCells count="3">
    <mergeCell ref="A1:B1"/>
    <mergeCell ref="A2:B2"/>
    <mergeCell ref="A6:B6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6E6C-424F-4657-8708-08483479C58D}">
  <dimension ref="A1:O64"/>
  <sheetViews>
    <sheetView view="pageBreakPreview" topLeftCell="A5" zoomScaleNormal="100" zoomScaleSheetLayoutView="100" workbookViewId="0">
      <selection activeCell="G13" sqref="G13"/>
    </sheetView>
  </sheetViews>
  <sheetFormatPr defaultColWidth="12" defaultRowHeight="12.75" x14ac:dyDescent="0.2"/>
  <cols>
    <col min="1" max="1" width="60.83203125" style="11" customWidth="1"/>
    <col min="2" max="2" width="18.83203125" style="11" customWidth="1"/>
    <col min="3" max="3" width="10.1640625" style="11" customWidth="1"/>
    <col min="4" max="4" width="12" style="11"/>
    <col min="5" max="5" width="16.33203125" style="11" customWidth="1"/>
    <col min="6" max="6" width="15.1640625" style="11" customWidth="1"/>
    <col min="7" max="7" width="14" style="59" customWidth="1"/>
    <col min="8" max="16384" width="12" style="11"/>
  </cols>
  <sheetData>
    <row r="1" spans="1:15" ht="18.75" hidden="1" x14ac:dyDescent="0.3">
      <c r="A1" s="335" t="s">
        <v>215</v>
      </c>
      <c r="B1" s="335"/>
      <c r="C1" s="9"/>
      <c r="D1" s="9"/>
      <c r="E1" s="9"/>
      <c r="F1" s="10"/>
    </row>
    <row r="2" spans="1:15" ht="18" hidden="1" customHeight="1" x14ac:dyDescent="0.25">
      <c r="A2" s="335"/>
      <c r="B2" s="335"/>
      <c r="C2" s="9"/>
      <c r="D2" s="9"/>
      <c r="E2" s="9"/>
      <c r="F2" s="12"/>
    </row>
    <row r="3" spans="1:15" hidden="1" x14ac:dyDescent="0.2">
      <c r="A3" s="13"/>
      <c r="B3" s="13"/>
      <c r="C3" s="13"/>
      <c r="D3" s="13"/>
      <c r="E3" s="13"/>
      <c r="F3" s="13"/>
    </row>
    <row r="4" spans="1:15" hidden="1" x14ac:dyDescent="0.2">
      <c r="A4" s="14" t="s">
        <v>217</v>
      </c>
      <c r="B4" s="14" t="s">
        <v>211</v>
      </c>
      <c r="C4" s="13"/>
      <c r="E4" s="13"/>
      <c r="F4" s="13"/>
    </row>
    <row r="5" spans="1:15" x14ac:dyDescent="0.2">
      <c r="A5" s="12"/>
      <c r="B5" s="13"/>
      <c r="C5" s="13"/>
      <c r="D5" s="13"/>
      <c r="E5" s="13"/>
    </row>
    <row r="6" spans="1:15" x14ac:dyDescent="0.2">
      <c r="A6" s="336" t="s">
        <v>0</v>
      </c>
      <c r="B6" s="336"/>
      <c r="C6" s="15"/>
      <c r="D6" s="15"/>
      <c r="E6" s="15"/>
    </row>
    <row r="7" spans="1:15" x14ac:dyDescent="0.2">
      <c r="A7" s="16"/>
      <c r="B7" s="16"/>
    </row>
    <row r="8" spans="1:15" ht="15" x14ac:dyDescent="0.2">
      <c r="A8" s="337" t="s">
        <v>641</v>
      </c>
      <c r="B8" s="337"/>
    </row>
    <row r="10" spans="1:15" x14ac:dyDescent="0.2">
      <c r="A10" s="34" t="s">
        <v>15</v>
      </c>
    </row>
    <row r="12" spans="1:15" x14ac:dyDescent="0.2">
      <c r="A12" s="20" t="s">
        <v>152</v>
      </c>
      <c r="B12" s="21">
        <f>G14</f>
        <v>757708</v>
      </c>
      <c r="C12" s="11" t="s">
        <v>37</v>
      </c>
      <c r="E12" s="1" t="s">
        <v>714</v>
      </c>
      <c r="F12" s="1" t="s">
        <v>225</v>
      </c>
      <c r="G12" s="65">
        <v>510242</v>
      </c>
      <c r="I12" t="s">
        <v>522</v>
      </c>
      <c r="J12" t="s">
        <v>523</v>
      </c>
      <c r="K12" s="185" t="s">
        <v>524</v>
      </c>
      <c r="L12" t="s">
        <v>525</v>
      </c>
      <c r="M12" t="s">
        <v>526</v>
      </c>
    </row>
    <row r="13" spans="1:15" x14ac:dyDescent="0.2">
      <c r="A13" s="20" t="s">
        <v>16</v>
      </c>
      <c r="B13" s="21">
        <v>60</v>
      </c>
      <c r="C13" s="11" t="s">
        <v>55</v>
      </c>
      <c r="F13" s="11" t="s">
        <v>227</v>
      </c>
      <c r="G13" s="59">
        <f>229221+18245</f>
        <v>247466</v>
      </c>
      <c r="I13">
        <v>1</v>
      </c>
      <c r="J13" s="185">
        <f>$G$14</f>
        <v>757708</v>
      </c>
      <c r="K13" s="185">
        <f>SLN($G$14,$B$15,$G$15)</f>
        <v>121233.28</v>
      </c>
      <c r="L13" s="185">
        <f>K13</f>
        <v>121233.28</v>
      </c>
      <c r="M13" s="185">
        <f>J13-L13</f>
        <v>636474.72</v>
      </c>
      <c r="O13" s="59">
        <f>(G19/G14)*100</f>
        <v>0</v>
      </c>
    </row>
    <row r="14" spans="1:15" x14ac:dyDescent="0.2">
      <c r="A14" s="20" t="s">
        <v>17</v>
      </c>
      <c r="B14" s="60">
        <v>0.2</v>
      </c>
      <c r="G14" s="59">
        <f>SUM(G12:G13)</f>
        <v>757708</v>
      </c>
      <c r="I14">
        <v>2</v>
      </c>
      <c r="J14" s="185">
        <f>$G$14</f>
        <v>757708</v>
      </c>
      <c r="K14" s="185">
        <f>SLN($G$14,$B$15,$G$15)</f>
        <v>121233.28</v>
      </c>
      <c r="L14" s="185">
        <f>K14+L13</f>
        <v>242466.56</v>
      </c>
      <c r="M14" s="185">
        <f>J14-L14</f>
        <v>515241.44</v>
      </c>
      <c r="O14" s="59">
        <f>($G$19/M13)*100</f>
        <v>0</v>
      </c>
    </row>
    <row r="15" spans="1:15" x14ac:dyDescent="0.2">
      <c r="A15" s="20" t="s">
        <v>224</v>
      </c>
      <c r="B15" s="23">
        <f>G14*B14</f>
        <v>151541.6</v>
      </c>
      <c r="G15" s="11">
        <v>5</v>
      </c>
      <c r="I15">
        <v>3</v>
      </c>
      <c r="J15" s="185">
        <f>$G$14</f>
        <v>757708</v>
      </c>
      <c r="K15" s="185">
        <f>SLN($G$14,$B$15,$G$15)</f>
        <v>121233.28</v>
      </c>
      <c r="L15" s="185">
        <f>K15+L14</f>
        <v>363699.83999999997</v>
      </c>
      <c r="M15" s="185">
        <f>J15-L15</f>
        <v>394008.16000000003</v>
      </c>
      <c r="O15" s="59">
        <f>($G$19/M14)*100</f>
        <v>0</v>
      </c>
    </row>
    <row r="16" spans="1:15" x14ac:dyDescent="0.2">
      <c r="A16" s="11" t="s">
        <v>223</v>
      </c>
      <c r="B16" s="21">
        <f>(B12-B15)/B13</f>
        <v>10102.773333333334</v>
      </c>
      <c r="C16" s="11" t="s">
        <v>130</v>
      </c>
      <c r="G16" s="11"/>
      <c r="I16">
        <v>4</v>
      </c>
      <c r="J16" s="185">
        <f>$G$14</f>
        <v>757708</v>
      </c>
      <c r="K16" s="185">
        <f>SLN($G$14,$B$15,$G$15)</f>
        <v>121233.28</v>
      </c>
      <c r="L16" s="185">
        <f>K16+L15</f>
        <v>484933.12</v>
      </c>
      <c r="M16" s="185">
        <f>J16-L16</f>
        <v>272774.88</v>
      </c>
      <c r="O16" s="59">
        <f>($G$19/M15)*100</f>
        <v>0</v>
      </c>
    </row>
    <row r="17" spans="1:15" x14ac:dyDescent="0.2">
      <c r="I17">
        <v>5</v>
      </c>
      <c r="J17" s="185">
        <f>$G$14</f>
        <v>757708</v>
      </c>
      <c r="K17" s="185">
        <f>SLN($G$14,$B$15,$G$15)</f>
        <v>121233.28</v>
      </c>
      <c r="L17" s="185">
        <f>K17+L16</f>
        <v>606166.4</v>
      </c>
      <c r="M17" s="185">
        <f>J17-L17</f>
        <v>151541.59999999998</v>
      </c>
      <c r="O17" s="59">
        <f>($G$19/M16)*100</f>
        <v>0</v>
      </c>
    </row>
    <row r="18" spans="1:15" x14ac:dyDescent="0.2">
      <c r="A18" s="19" t="s">
        <v>18</v>
      </c>
      <c r="O18" s="59">
        <f>($G$19/M17)*100</f>
        <v>0</v>
      </c>
    </row>
    <row r="20" spans="1:15" x14ac:dyDescent="0.2">
      <c r="A20" s="61" t="s">
        <v>19</v>
      </c>
      <c r="B20" s="16">
        <f>+B12</f>
        <v>757708</v>
      </c>
      <c r="C20" s="11" t="s">
        <v>37</v>
      </c>
      <c r="E20" s="67"/>
    </row>
    <row r="21" spans="1:15" x14ac:dyDescent="0.2">
      <c r="A21" s="61" t="s">
        <v>539</v>
      </c>
      <c r="B21" s="187">
        <f>'BASCULANTE 6'!B21</f>
        <v>0.14249999999999999</v>
      </c>
    </row>
    <row r="22" spans="1:15" x14ac:dyDescent="0.2">
      <c r="A22" s="61" t="s">
        <v>21</v>
      </c>
      <c r="B22" s="16">
        <f>((B12-B15)*B21)/12</f>
        <v>7198.2259999999997</v>
      </c>
      <c r="C22" s="11" t="s">
        <v>130</v>
      </c>
    </row>
    <row r="23" spans="1:15" x14ac:dyDescent="0.2">
      <c r="A23" s="16" t="s">
        <v>8</v>
      </c>
      <c r="B23" s="16" t="s">
        <v>8</v>
      </c>
    </row>
    <row r="24" spans="1:15" x14ac:dyDescent="0.2">
      <c r="A24" s="18" t="s">
        <v>22</v>
      </c>
      <c r="B24" s="16" t="s">
        <v>8</v>
      </c>
    </row>
    <row r="26" spans="1:15" x14ac:dyDescent="0.2">
      <c r="A26" s="20" t="s">
        <v>23</v>
      </c>
      <c r="B26" s="21">
        <f>DADOS!D21</f>
        <v>6.24</v>
      </c>
      <c r="C26" s="11" t="s">
        <v>205</v>
      </c>
    </row>
    <row r="27" spans="1:15" x14ac:dyDescent="0.2">
      <c r="A27" s="20" t="s">
        <v>570</v>
      </c>
      <c r="B27" s="21">
        <f>E27*26.08</f>
        <v>788.65919999999994</v>
      </c>
      <c r="C27" s="11" t="s">
        <v>207</v>
      </c>
      <c r="E27" s="11">
        <v>30.24</v>
      </c>
      <c r="I27" s="67"/>
      <c r="K27" s="59"/>
    </row>
    <row r="28" spans="1:15" x14ac:dyDescent="0.2">
      <c r="A28" s="20" t="s">
        <v>24</v>
      </c>
      <c r="B28" s="21">
        <v>1.5</v>
      </c>
      <c r="C28" s="11" t="s">
        <v>206</v>
      </c>
      <c r="K28" s="59"/>
      <c r="L28" s="59"/>
    </row>
    <row r="29" spans="1:15" x14ac:dyDescent="0.2">
      <c r="A29" s="22" t="s">
        <v>25</v>
      </c>
      <c r="B29" s="21">
        <f>+(B27/B28)*B26</f>
        <v>3280.8222719999999</v>
      </c>
      <c r="C29" s="11" t="s">
        <v>130</v>
      </c>
      <c r="E29" s="24"/>
      <c r="K29" s="59"/>
    </row>
    <row r="30" spans="1:15" x14ac:dyDescent="0.2">
      <c r="A30" s="20"/>
      <c r="B30" s="21"/>
      <c r="K30" s="59"/>
    </row>
    <row r="31" spans="1:15" x14ac:dyDescent="0.2">
      <c r="A31" s="18" t="s">
        <v>26</v>
      </c>
      <c r="B31" s="16" t="s">
        <v>8</v>
      </c>
      <c r="K31" s="59"/>
    </row>
    <row r="32" spans="1:15" x14ac:dyDescent="0.2">
      <c r="K32" s="59"/>
    </row>
    <row r="33" spans="1:7" x14ac:dyDescent="0.2">
      <c r="A33" s="20" t="s">
        <v>94</v>
      </c>
      <c r="B33" s="21">
        <f>'BASCULANTE 6'!B33</f>
        <v>17849.400000000001</v>
      </c>
      <c r="C33" s="11" t="s">
        <v>37</v>
      </c>
    </row>
    <row r="34" spans="1:7" x14ac:dyDescent="0.2">
      <c r="A34" s="20" t="s">
        <v>27</v>
      </c>
      <c r="B34" s="21">
        <v>50000</v>
      </c>
      <c r="C34" s="11" t="s">
        <v>45</v>
      </c>
    </row>
    <row r="35" spans="1:7" x14ac:dyDescent="0.2">
      <c r="A35" s="20" t="s">
        <v>458</v>
      </c>
      <c r="B35" s="21">
        <f>B27</f>
        <v>788.65919999999994</v>
      </c>
      <c r="C35" s="11" t="s">
        <v>207</v>
      </c>
    </row>
    <row r="36" spans="1:7" x14ac:dyDescent="0.2">
      <c r="A36" s="20" t="s">
        <v>28</v>
      </c>
      <c r="B36" s="21">
        <f>+(B33*B35)/B34</f>
        <v>281.5418704896</v>
      </c>
      <c r="C36" s="11" t="s">
        <v>130</v>
      </c>
      <c r="E36" s="24"/>
      <c r="G36" s="233"/>
    </row>
    <row r="37" spans="1:7" x14ac:dyDescent="0.2">
      <c r="A37" s="20"/>
      <c r="B37" s="21"/>
    </row>
    <row r="38" spans="1:7" x14ac:dyDescent="0.2">
      <c r="A38" s="20" t="s">
        <v>29</v>
      </c>
    </row>
    <row r="39" spans="1:7" x14ac:dyDescent="0.2">
      <c r="A39" s="20" t="s">
        <v>7</v>
      </c>
    </row>
    <row r="40" spans="1:7" x14ac:dyDescent="0.2">
      <c r="A40" s="20" t="s">
        <v>30</v>
      </c>
      <c r="B40" s="60">
        <v>0.65</v>
      </c>
      <c r="E40" s="24"/>
    </row>
    <row r="41" spans="1:7" x14ac:dyDescent="0.2">
      <c r="A41" s="20" t="s">
        <v>554</v>
      </c>
      <c r="B41" s="24">
        <f>G14</f>
        <v>757708</v>
      </c>
      <c r="C41" s="11" t="s">
        <v>37</v>
      </c>
    </row>
    <row r="42" spans="1:7" x14ac:dyDescent="0.2">
      <c r="A42" s="20" t="s">
        <v>32</v>
      </c>
      <c r="B42" s="21">
        <v>60</v>
      </c>
      <c r="C42" s="11" t="s">
        <v>55</v>
      </c>
    </row>
    <row r="43" spans="1:7" x14ac:dyDescent="0.2">
      <c r="A43" s="20" t="s">
        <v>33</v>
      </c>
      <c r="B43" s="21">
        <f>+(B40*B41)/B42</f>
        <v>8208.503333333334</v>
      </c>
      <c r="C43" s="11" t="s">
        <v>130</v>
      </c>
    </row>
    <row r="45" spans="1:7" x14ac:dyDescent="0.2">
      <c r="A45" s="22" t="s">
        <v>74</v>
      </c>
      <c r="B45" s="21"/>
    </row>
    <row r="46" spans="1:7" x14ac:dyDescent="0.2">
      <c r="A46" s="20"/>
      <c r="B46" s="21"/>
    </row>
    <row r="47" spans="1:7" x14ac:dyDescent="0.2">
      <c r="A47" s="22" t="s">
        <v>179</v>
      </c>
      <c r="B47" s="21">
        <f>LUBRIF!E7*((LUBRIF!E4/LUBRIF!E8)+(((1/1000)/1000)))*B27</f>
        <v>27.529863132441598</v>
      </c>
      <c r="C47" s="11" t="s">
        <v>130</v>
      </c>
    </row>
    <row r="48" spans="1:7" x14ac:dyDescent="0.2">
      <c r="A48" s="22" t="s">
        <v>800</v>
      </c>
      <c r="B48" s="21">
        <f>(LUBRIF!E17+LUBRIF!E23)*B27</f>
        <v>29.195296058880004</v>
      </c>
      <c r="C48" s="11" t="s">
        <v>130</v>
      </c>
    </row>
    <row r="49" spans="1:5" x14ac:dyDescent="0.2">
      <c r="A49" s="22" t="s">
        <v>801</v>
      </c>
      <c r="B49" s="21">
        <f>LUBRIF!I36*(8*26.08)</f>
        <v>328.85682251851847</v>
      </c>
      <c r="C49" s="11" t="s">
        <v>130</v>
      </c>
    </row>
    <row r="50" spans="1:5" x14ac:dyDescent="0.2">
      <c r="A50" s="22" t="s">
        <v>802</v>
      </c>
      <c r="B50" s="21">
        <f>0.0015*B27</f>
        <v>1.1829888</v>
      </c>
      <c r="C50" s="11" t="s">
        <v>130</v>
      </c>
    </row>
    <row r="51" spans="1:5" x14ac:dyDescent="0.2">
      <c r="A51" s="22" t="s">
        <v>803</v>
      </c>
      <c r="B51" s="21">
        <f>LUBRIF!E28*B27</f>
        <v>75.652133759999998</v>
      </c>
      <c r="C51" s="11" t="s">
        <v>130</v>
      </c>
    </row>
    <row r="52" spans="1:5" x14ac:dyDescent="0.2">
      <c r="A52" s="22" t="s">
        <v>804</v>
      </c>
      <c r="B52" s="21">
        <f>15*40</f>
        <v>600</v>
      </c>
      <c r="C52" s="11" t="s">
        <v>130</v>
      </c>
    </row>
    <row r="53" spans="1:5" x14ac:dyDescent="0.2">
      <c r="A53" s="22" t="s">
        <v>805</v>
      </c>
      <c r="B53" s="21">
        <f>0.03*B29</f>
        <v>98.424668159999996</v>
      </c>
      <c r="C53" s="11" t="s">
        <v>130</v>
      </c>
    </row>
    <row r="54" spans="1:5" x14ac:dyDescent="0.2">
      <c r="A54" s="22" t="s">
        <v>806</v>
      </c>
      <c r="B54" s="64">
        <f>+B47+B48+B49+B50+B51+B52</f>
        <v>1062.4171042698399</v>
      </c>
      <c r="C54" s="11" t="s">
        <v>130</v>
      </c>
    </row>
    <row r="55" spans="1:5" x14ac:dyDescent="0.2">
      <c r="A55" s="22"/>
      <c r="B55" s="21"/>
    </row>
    <row r="56" spans="1:5" x14ac:dyDescent="0.2">
      <c r="A56" s="22" t="s">
        <v>81</v>
      </c>
      <c r="B56" s="21"/>
    </row>
    <row r="57" spans="1:5" x14ac:dyDescent="0.2">
      <c r="A57" s="22"/>
      <c r="B57" s="21"/>
    </row>
    <row r="58" spans="1:5" x14ac:dyDescent="0.2">
      <c r="A58" s="22" t="s">
        <v>151</v>
      </c>
      <c r="B58" s="21">
        <f>(+B12*3%)/12</f>
        <v>1894.2699999999998</v>
      </c>
      <c r="C58" s="11" t="s">
        <v>130</v>
      </c>
    </row>
    <row r="59" spans="1:5" x14ac:dyDescent="0.2">
      <c r="A59" s="22" t="s">
        <v>541</v>
      </c>
      <c r="B59" s="21">
        <f>(213.84+(+G12*1%))/12</f>
        <v>443.0216666666667</v>
      </c>
      <c r="C59" s="11" t="s">
        <v>130</v>
      </c>
    </row>
    <row r="60" spans="1:5" x14ac:dyDescent="0.2">
      <c r="A60" s="11" t="s">
        <v>82</v>
      </c>
      <c r="B60" s="33">
        <f>+B58+B59</f>
        <v>2337.2916666666665</v>
      </c>
      <c r="C60" s="11" t="s">
        <v>130</v>
      </c>
    </row>
    <row r="62" spans="1:5" x14ac:dyDescent="0.2">
      <c r="A62" s="25" t="s">
        <v>83</v>
      </c>
      <c r="B62" s="26">
        <f>B60+B54+B43+B36+B29+B22+B16</f>
        <v>32471.575580092773</v>
      </c>
      <c r="C62" s="29" t="s">
        <v>130</v>
      </c>
      <c r="E62" s="24"/>
    </row>
    <row r="64" spans="1:5" hidden="1" x14ac:dyDescent="0.2">
      <c r="A64" s="25" t="s">
        <v>420</v>
      </c>
      <c r="B64" s="171">
        <f>(B29+B36+B54)-B51</f>
        <v>4549.1291129994397</v>
      </c>
      <c r="C64" s="25" t="s">
        <v>130</v>
      </c>
    </row>
  </sheetData>
  <mergeCells count="4">
    <mergeCell ref="A1:B1"/>
    <mergeCell ref="A2:B2"/>
    <mergeCell ref="A6:B6"/>
    <mergeCell ref="A8:B8"/>
  </mergeCells>
  <printOptions horizontalCentered="1"/>
  <pageMargins left="0.78740157480314965" right="0.78740157480314965" top="0.98425196850393704" bottom="0.98425196850393704" header="0.31496062992125984" footer="0.27559055118110237"/>
  <pageSetup paperSize="9" scale="86" orientation="portrait" r:id="rId1"/>
  <headerFooter>
    <oddHeader>&amp;L&amp;G</oddHeader>
    <oddFooter>&amp;C&amp;"Calibri,Regular"&amp;8CNPJ: 41.244.542/0001-97
Cabo Corporate Center – Torre Aníbal Cardoso 
Rua Cento e Sessenta e Três, 226 – sala 405  -  Cabo de Santo Agostinho– PE  - CEP:  54518-430  
Tel.: (81) 3076-0018  / e-mail: nrjambiental05@gmail.com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44073-5310-40FE-87C3-BB1CE2B49352}">
  <sheetPr>
    <pageSetUpPr fitToPage="1"/>
  </sheetPr>
  <dimension ref="A2:V51"/>
  <sheetViews>
    <sheetView view="pageBreakPreview" zoomScaleNormal="100" zoomScaleSheetLayoutView="100" workbookViewId="0">
      <selection activeCell="J16" sqref="J16"/>
    </sheetView>
  </sheetViews>
  <sheetFormatPr defaultColWidth="12" defaultRowHeight="12" x14ac:dyDescent="0.2"/>
  <cols>
    <col min="1" max="1" width="4.83203125" style="270" customWidth="1"/>
    <col min="2" max="2" width="30.83203125" style="96" customWidth="1"/>
    <col min="3" max="3" width="9.83203125" style="97" customWidth="1"/>
    <col min="4" max="4" width="8.83203125" style="96" customWidth="1"/>
    <col min="5" max="7" width="10.83203125" style="97" customWidth="1"/>
    <col min="8" max="9" width="14.1640625" style="96" bestFit="1" customWidth="1"/>
    <col min="10" max="10" width="11.6640625" style="251" bestFit="1" customWidth="1"/>
    <col min="11" max="11" width="11.6640625" style="96" bestFit="1" customWidth="1"/>
    <col min="12" max="14" width="11.6640625" style="97" bestFit="1" customWidth="1"/>
    <col min="15" max="15" width="11.6640625" style="96" bestFit="1" customWidth="1"/>
    <col min="16" max="16" width="11.6640625" style="97" bestFit="1" customWidth="1"/>
    <col min="17" max="21" width="11.6640625" style="96" bestFit="1" customWidth="1"/>
    <col min="22" max="22" width="12.83203125" style="96" customWidth="1"/>
    <col min="23" max="16384" width="12" style="96"/>
  </cols>
  <sheetData>
    <row r="2" spans="1:22" x14ac:dyDescent="0.2">
      <c r="A2" s="329"/>
      <c r="B2" s="329"/>
      <c r="C2" s="329"/>
      <c r="D2" s="329"/>
      <c r="E2" s="329"/>
      <c r="F2" s="329"/>
      <c r="G2" s="329"/>
      <c r="H2" s="250"/>
      <c r="I2" s="250"/>
    </row>
    <row r="3" spans="1:22" x14ac:dyDescent="0.2">
      <c r="A3" s="329" t="s">
        <v>698</v>
      </c>
      <c r="B3" s="329"/>
      <c r="C3" s="329"/>
      <c r="D3" s="329"/>
      <c r="E3" s="329"/>
      <c r="F3" s="329"/>
      <c r="G3" s="329"/>
      <c r="H3" s="250"/>
      <c r="I3" s="250"/>
    </row>
    <row r="4" spans="1:22" ht="18" customHeight="1" x14ac:dyDescent="0.2">
      <c r="A4" s="329"/>
      <c r="B4" s="329"/>
      <c r="C4" s="329"/>
      <c r="D4" s="329"/>
      <c r="E4" s="329"/>
      <c r="F4" s="329"/>
      <c r="G4" s="329"/>
      <c r="H4" s="250"/>
      <c r="I4" s="250"/>
    </row>
    <row r="5" spans="1:22" ht="24" customHeight="1" x14ac:dyDescent="0.2">
      <c r="A5" s="328" t="s">
        <v>60</v>
      </c>
      <c r="B5" s="330" t="s">
        <v>61</v>
      </c>
      <c r="C5" s="331" t="s">
        <v>62</v>
      </c>
      <c r="D5" s="328" t="s">
        <v>63</v>
      </c>
      <c r="E5" s="325" t="s">
        <v>688</v>
      </c>
      <c r="F5" s="325" t="s">
        <v>689</v>
      </c>
      <c r="G5" s="325" t="s">
        <v>690</v>
      </c>
      <c r="H5" s="327" t="s">
        <v>694</v>
      </c>
      <c r="I5" s="327" t="s">
        <v>695</v>
      </c>
      <c r="J5" s="328" t="s">
        <v>696</v>
      </c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 t="s">
        <v>697</v>
      </c>
    </row>
    <row r="6" spans="1:22" ht="24" customHeight="1" x14ac:dyDescent="0.2">
      <c r="A6" s="328"/>
      <c r="B6" s="330"/>
      <c r="C6" s="331"/>
      <c r="D6" s="328"/>
      <c r="E6" s="326"/>
      <c r="F6" s="326"/>
      <c r="G6" s="326"/>
      <c r="H6" s="327"/>
      <c r="I6" s="327"/>
      <c r="J6" s="2">
        <v>1</v>
      </c>
      <c r="K6" s="2">
        <v>2</v>
      </c>
      <c r="L6" s="2">
        <v>3</v>
      </c>
      <c r="M6" s="2">
        <v>4</v>
      </c>
      <c r="N6" s="2">
        <v>5</v>
      </c>
      <c r="O6" s="2">
        <v>6</v>
      </c>
      <c r="P6" s="2">
        <v>7</v>
      </c>
      <c r="Q6" s="2">
        <v>8</v>
      </c>
      <c r="R6" s="2">
        <v>9</v>
      </c>
      <c r="S6" s="2">
        <v>10</v>
      </c>
      <c r="T6" s="2">
        <v>11</v>
      </c>
      <c r="U6" s="2">
        <v>12</v>
      </c>
      <c r="V6" s="328"/>
    </row>
    <row r="7" spans="1:22" s="259" customFormat="1" ht="27.95" customHeight="1" x14ac:dyDescent="0.2">
      <c r="A7" s="252">
        <v>1</v>
      </c>
      <c r="B7" s="253" t="s">
        <v>457</v>
      </c>
      <c r="C7" s="254">
        <f>VARRIÇÃO!D88</f>
        <v>2846.25</v>
      </c>
      <c r="D7" s="255" t="s">
        <v>45</v>
      </c>
      <c r="E7" s="256">
        <f>VARRIÇÃO!D83/VARRIÇÃO!D88</f>
        <v>104.90149939270135</v>
      </c>
      <c r="F7" s="257">
        <f>BDI!C12</f>
        <v>0.29709999999999998</v>
      </c>
      <c r="G7" s="258">
        <f>ROUND((E7*(1+F7)),2)</f>
        <v>136.07</v>
      </c>
      <c r="H7" s="258">
        <f>ROUND((C7*E7),2)</f>
        <v>298575.89</v>
      </c>
      <c r="I7" s="281">
        <f t="shared" ref="I7:I12" si="0">ROUND(C7*G7,2)</f>
        <v>387289.24</v>
      </c>
      <c r="J7" s="288">
        <f>$I$7</f>
        <v>387289.24</v>
      </c>
      <c r="K7" s="288">
        <f t="shared" ref="K7:U7" si="1">$I$7</f>
        <v>387289.24</v>
      </c>
      <c r="L7" s="288">
        <f t="shared" si="1"/>
        <v>387289.24</v>
      </c>
      <c r="M7" s="288">
        <f t="shared" si="1"/>
        <v>387289.24</v>
      </c>
      <c r="N7" s="288">
        <f t="shared" si="1"/>
        <v>387289.24</v>
      </c>
      <c r="O7" s="288">
        <f t="shared" si="1"/>
        <v>387289.24</v>
      </c>
      <c r="P7" s="288">
        <f t="shared" si="1"/>
        <v>387289.24</v>
      </c>
      <c r="Q7" s="288">
        <f t="shared" si="1"/>
        <v>387289.24</v>
      </c>
      <c r="R7" s="288">
        <f t="shared" si="1"/>
        <v>387289.24</v>
      </c>
      <c r="S7" s="288">
        <f t="shared" si="1"/>
        <v>387289.24</v>
      </c>
      <c r="T7" s="288">
        <f t="shared" si="1"/>
        <v>387289.24</v>
      </c>
      <c r="U7" s="288">
        <f t="shared" si="1"/>
        <v>387289.24</v>
      </c>
      <c r="V7" s="265">
        <f>SUM(J7:U7)</f>
        <v>4647470.8800000008</v>
      </c>
    </row>
    <row r="8" spans="1:22" s="259" customFormat="1" ht="27.95" customHeight="1" x14ac:dyDescent="0.2">
      <c r="A8" s="255">
        <v>2</v>
      </c>
      <c r="B8" s="253" t="s">
        <v>536</v>
      </c>
      <c r="C8" s="254">
        <f>DOMICILIAR!D103</f>
        <v>3496.46</v>
      </c>
      <c r="D8" s="255" t="s">
        <v>219</v>
      </c>
      <c r="E8" s="256">
        <f>ROUND(DOMICILIAR!D98/DOMICILIAR!D103,2)</f>
        <v>247.1</v>
      </c>
      <c r="F8" s="257">
        <f>BDI!C12</f>
        <v>0.29709999999999998</v>
      </c>
      <c r="G8" s="258">
        <f t="shared" ref="G8:G17" si="2">ROUND(E8*(1+F8),2)</f>
        <v>320.51</v>
      </c>
      <c r="H8" s="281">
        <f t="shared" ref="H8:H17" si="3">C8*E8</f>
        <v>863975.26599999995</v>
      </c>
      <c r="I8" s="281">
        <f t="shared" si="0"/>
        <v>1120650.3899999999</v>
      </c>
      <c r="J8" s="288">
        <f>$I$8</f>
        <v>1120650.3899999999</v>
      </c>
      <c r="K8" s="288">
        <f t="shared" ref="K8:U8" si="4">$I$8</f>
        <v>1120650.3899999999</v>
      </c>
      <c r="L8" s="288">
        <f t="shared" si="4"/>
        <v>1120650.3899999999</v>
      </c>
      <c r="M8" s="288">
        <f t="shared" si="4"/>
        <v>1120650.3899999999</v>
      </c>
      <c r="N8" s="288">
        <f t="shared" si="4"/>
        <v>1120650.3899999999</v>
      </c>
      <c r="O8" s="288">
        <f t="shared" si="4"/>
        <v>1120650.3899999999</v>
      </c>
      <c r="P8" s="288">
        <f t="shared" si="4"/>
        <v>1120650.3899999999</v>
      </c>
      <c r="Q8" s="288">
        <f t="shared" si="4"/>
        <v>1120650.3899999999</v>
      </c>
      <c r="R8" s="288">
        <f t="shared" si="4"/>
        <v>1120650.3899999999</v>
      </c>
      <c r="S8" s="288">
        <f t="shared" si="4"/>
        <v>1120650.3899999999</v>
      </c>
      <c r="T8" s="288">
        <f t="shared" si="4"/>
        <v>1120650.3899999999</v>
      </c>
      <c r="U8" s="288">
        <f t="shared" si="4"/>
        <v>1120650.3899999999</v>
      </c>
      <c r="V8" s="265">
        <f t="shared" ref="V8:V23" si="5">SUM(J8:U8)</f>
        <v>13447804.680000002</v>
      </c>
    </row>
    <row r="9" spans="1:22" s="259" customFormat="1" ht="27.95" customHeight="1" x14ac:dyDescent="0.2">
      <c r="A9" s="252">
        <v>3</v>
      </c>
      <c r="B9" s="253" t="s">
        <v>627</v>
      </c>
      <c r="C9" s="254">
        <f>volumosos!D96</f>
        <v>493.33</v>
      </c>
      <c r="D9" s="255" t="s">
        <v>219</v>
      </c>
      <c r="E9" s="256">
        <f>volumosos!D91/volumosos!D96</f>
        <v>113.08558416369608</v>
      </c>
      <c r="F9" s="257">
        <f>BDI!C12</f>
        <v>0.29709999999999998</v>
      </c>
      <c r="G9" s="258">
        <f>ROUND(E9*(1+F9),2)</f>
        <v>146.68</v>
      </c>
      <c r="H9" s="281">
        <f t="shared" si="3"/>
        <v>55788.511235476188</v>
      </c>
      <c r="I9" s="281">
        <f t="shared" si="0"/>
        <v>72361.64</v>
      </c>
      <c r="J9" s="288">
        <f t="shared" ref="J9:J17" si="6">$I9</f>
        <v>72361.64</v>
      </c>
      <c r="K9" s="288">
        <f t="shared" ref="K9:U9" si="7">$I$9</f>
        <v>72361.64</v>
      </c>
      <c r="L9" s="288">
        <f t="shared" si="7"/>
        <v>72361.64</v>
      </c>
      <c r="M9" s="288">
        <f t="shared" si="7"/>
        <v>72361.64</v>
      </c>
      <c r="N9" s="288">
        <f t="shared" si="7"/>
        <v>72361.64</v>
      </c>
      <c r="O9" s="288">
        <f t="shared" si="7"/>
        <v>72361.64</v>
      </c>
      <c r="P9" s="288">
        <f t="shared" si="7"/>
        <v>72361.64</v>
      </c>
      <c r="Q9" s="288">
        <f t="shared" si="7"/>
        <v>72361.64</v>
      </c>
      <c r="R9" s="288">
        <f t="shared" si="7"/>
        <v>72361.64</v>
      </c>
      <c r="S9" s="288">
        <f t="shared" si="7"/>
        <v>72361.64</v>
      </c>
      <c r="T9" s="288">
        <f t="shared" si="7"/>
        <v>72361.64</v>
      </c>
      <c r="U9" s="288">
        <f t="shared" si="7"/>
        <v>72361.64</v>
      </c>
      <c r="V9" s="265">
        <f t="shared" si="5"/>
        <v>868339.68</v>
      </c>
    </row>
    <row r="10" spans="1:22" s="259" customFormat="1" ht="27.95" customHeight="1" x14ac:dyDescent="0.2">
      <c r="A10" s="255">
        <v>4</v>
      </c>
      <c r="B10" s="253" t="s">
        <v>628</v>
      </c>
      <c r="C10" s="254">
        <f>'vol1'!D96</f>
        <v>1973.32</v>
      </c>
      <c r="D10" s="255" t="s">
        <v>219</v>
      </c>
      <c r="E10" s="256">
        <f>'vol1'!D91/'vol1'!D96</f>
        <v>86.53242408334323</v>
      </c>
      <c r="F10" s="257">
        <f>TRUNC(BDI!C12,4)</f>
        <v>0.29709999999999998</v>
      </c>
      <c r="G10" s="258">
        <f t="shared" si="2"/>
        <v>112.24</v>
      </c>
      <c r="H10" s="281">
        <f t="shared" si="3"/>
        <v>170756.16309214284</v>
      </c>
      <c r="I10" s="281">
        <f t="shared" si="0"/>
        <v>221485.44</v>
      </c>
      <c r="J10" s="288">
        <f t="shared" si="6"/>
        <v>221485.44</v>
      </c>
      <c r="K10" s="288">
        <f t="shared" ref="K10:U23" si="8">$I10</f>
        <v>221485.44</v>
      </c>
      <c r="L10" s="288">
        <f t="shared" si="8"/>
        <v>221485.44</v>
      </c>
      <c r="M10" s="288">
        <f t="shared" si="8"/>
        <v>221485.44</v>
      </c>
      <c r="N10" s="288">
        <f t="shared" si="8"/>
        <v>221485.44</v>
      </c>
      <c r="O10" s="288">
        <f t="shared" si="8"/>
        <v>221485.44</v>
      </c>
      <c r="P10" s="288">
        <f t="shared" si="8"/>
        <v>221485.44</v>
      </c>
      <c r="Q10" s="288">
        <f t="shared" si="8"/>
        <v>221485.44</v>
      </c>
      <c r="R10" s="288">
        <f t="shared" si="8"/>
        <v>221485.44</v>
      </c>
      <c r="S10" s="288">
        <f t="shared" si="8"/>
        <v>221485.44</v>
      </c>
      <c r="T10" s="288">
        <f t="shared" si="8"/>
        <v>221485.44</v>
      </c>
      <c r="U10" s="288">
        <f t="shared" si="8"/>
        <v>221485.44</v>
      </c>
      <c r="V10" s="265">
        <f t="shared" si="5"/>
        <v>2657825.2799999998</v>
      </c>
    </row>
    <row r="11" spans="1:22" s="259" customFormat="1" ht="27.95" customHeight="1" x14ac:dyDescent="0.2">
      <c r="A11" s="252">
        <v>5</v>
      </c>
      <c r="B11" s="253" t="s">
        <v>531</v>
      </c>
      <c r="C11" s="254">
        <f>Podação!D91</f>
        <v>173.78</v>
      </c>
      <c r="D11" s="255" t="s">
        <v>219</v>
      </c>
      <c r="E11" s="256">
        <f>ROUND(Podação!D86/Podação!D91,2)</f>
        <v>320.25</v>
      </c>
      <c r="F11" s="257">
        <f>BDI!C12</f>
        <v>0.29709999999999998</v>
      </c>
      <c r="G11" s="258">
        <f t="shared" si="2"/>
        <v>415.4</v>
      </c>
      <c r="H11" s="281">
        <f t="shared" si="3"/>
        <v>55653.044999999998</v>
      </c>
      <c r="I11" s="281">
        <f t="shared" si="0"/>
        <v>72188.210000000006</v>
      </c>
      <c r="J11" s="288">
        <f t="shared" si="6"/>
        <v>72188.210000000006</v>
      </c>
      <c r="K11" s="288">
        <f t="shared" si="8"/>
        <v>72188.210000000006</v>
      </c>
      <c r="L11" s="288">
        <f t="shared" si="8"/>
        <v>72188.210000000006</v>
      </c>
      <c r="M11" s="288">
        <f t="shared" si="8"/>
        <v>72188.210000000006</v>
      </c>
      <c r="N11" s="288">
        <f t="shared" si="8"/>
        <v>72188.210000000006</v>
      </c>
      <c r="O11" s="288">
        <f t="shared" si="8"/>
        <v>72188.210000000006</v>
      </c>
      <c r="P11" s="288">
        <f t="shared" si="8"/>
        <v>72188.210000000006</v>
      </c>
      <c r="Q11" s="288">
        <f t="shared" si="8"/>
        <v>72188.210000000006</v>
      </c>
      <c r="R11" s="288">
        <f t="shared" si="8"/>
        <v>72188.210000000006</v>
      </c>
      <c r="S11" s="288">
        <f t="shared" si="8"/>
        <v>72188.210000000006</v>
      </c>
      <c r="T11" s="288">
        <f t="shared" si="8"/>
        <v>72188.210000000006</v>
      </c>
      <c r="U11" s="288">
        <f t="shared" si="8"/>
        <v>72188.210000000006</v>
      </c>
      <c r="V11" s="265">
        <f t="shared" si="5"/>
        <v>866258.5199999999</v>
      </c>
    </row>
    <row r="12" spans="1:22" s="259" customFormat="1" ht="27.95" customHeight="1" x14ac:dyDescent="0.2">
      <c r="A12" s="255">
        <v>6</v>
      </c>
      <c r="B12" s="253" t="s">
        <v>567</v>
      </c>
      <c r="C12" s="254">
        <f>ENSACADA!D90</f>
        <v>1</v>
      </c>
      <c r="D12" s="255" t="s">
        <v>424</v>
      </c>
      <c r="E12" s="256">
        <f>ROUND(ENSACADA!D85/ENSACADA!D90,2)</f>
        <v>111428.5</v>
      </c>
      <c r="F12" s="257">
        <f>BDI!C12</f>
        <v>0.29709999999999998</v>
      </c>
      <c r="G12" s="258">
        <f t="shared" si="2"/>
        <v>144533.91</v>
      </c>
      <c r="H12" s="281">
        <f t="shared" si="3"/>
        <v>111428.5</v>
      </c>
      <c r="I12" s="281">
        <f t="shared" si="0"/>
        <v>144533.91</v>
      </c>
      <c r="J12" s="288">
        <f t="shared" si="6"/>
        <v>144533.91</v>
      </c>
      <c r="K12" s="288">
        <f t="shared" si="8"/>
        <v>144533.91</v>
      </c>
      <c r="L12" s="288">
        <f t="shared" si="8"/>
        <v>144533.91</v>
      </c>
      <c r="M12" s="288">
        <f t="shared" si="8"/>
        <v>144533.91</v>
      </c>
      <c r="N12" s="288">
        <f t="shared" si="8"/>
        <v>144533.91</v>
      </c>
      <c r="O12" s="288">
        <f t="shared" si="8"/>
        <v>144533.91</v>
      </c>
      <c r="P12" s="288">
        <f t="shared" si="8"/>
        <v>144533.91</v>
      </c>
      <c r="Q12" s="288">
        <f t="shared" si="8"/>
        <v>144533.91</v>
      </c>
      <c r="R12" s="288">
        <f t="shared" si="8"/>
        <v>144533.91</v>
      </c>
      <c r="S12" s="288">
        <f t="shared" si="8"/>
        <v>144533.91</v>
      </c>
      <c r="T12" s="288">
        <f t="shared" si="8"/>
        <v>144533.91</v>
      </c>
      <c r="U12" s="288">
        <f t="shared" si="8"/>
        <v>144533.91</v>
      </c>
      <c r="V12" s="265">
        <f t="shared" si="5"/>
        <v>1734406.9199999997</v>
      </c>
    </row>
    <row r="13" spans="1:22" s="259" customFormat="1" ht="27.95" customHeight="1" x14ac:dyDescent="0.2">
      <c r="A13" s="252">
        <v>7</v>
      </c>
      <c r="B13" s="253" t="s">
        <v>648</v>
      </c>
      <c r="C13" s="254">
        <v>1</v>
      </c>
      <c r="D13" s="255" t="s">
        <v>424</v>
      </c>
      <c r="E13" s="256">
        <f>ROUND(SELETIVA!D86/SELETIVA!D91,2)</f>
        <v>38419.01</v>
      </c>
      <c r="F13" s="257">
        <f>BDI!C12</f>
        <v>0.29709999999999998</v>
      </c>
      <c r="G13" s="258">
        <f t="shared" si="2"/>
        <v>49833.3</v>
      </c>
      <c r="H13" s="281">
        <f t="shared" si="3"/>
        <v>38419.01</v>
      </c>
      <c r="I13" s="281">
        <f t="shared" ref="I13" si="9">C13*G13</f>
        <v>49833.3</v>
      </c>
      <c r="J13" s="288">
        <f t="shared" si="6"/>
        <v>49833.3</v>
      </c>
      <c r="K13" s="288">
        <f t="shared" si="8"/>
        <v>49833.3</v>
      </c>
      <c r="L13" s="288">
        <f t="shared" si="8"/>
        <v>49833.3</v>
      </c>
      <c r="M13" s="288">
        <f t="shared" si="8"/>
        <v>49833.3</v>
      </c>
      <c r="N13" s="288">
        <f t="shared" si="8"/>
        <v>49833.3</v>
      </c>
      <c r="O13" s="288">
        <f t="shared" si="8"/>
        <v>49833.3</v>
      </c>
      <c r="P13" s="288">
        <f t="shared" si="8"/>
        <v>49833.3</v>
      </c>
      <c r="Q13" s="288">
        <f t="shared" si="8"/>
        <v>49833.3</v>
      </c>
      <c r="R13" s="288">
        <f t="shared" si="8"/>
        <v>49833.3</v>
      </c>
      <c r="S13" s="288">
        <f t="shared" si="8"/>
        <v>49833.3</v>
      </c>
      <c r="T13" s="288">
        <f t="shared" si="8"/>
        <v>49833.3</v>
      </c>
      <c r="U13" s="288">
        <f t="shared" si="8"/>
        <v>49833.3</v>
      </c>
      <c r="V13" s="265">
        <f t="shared" si="5"/>
        <v>597999.6</v>
      </c>
    </row>
    <row r="14" spans="1:22" s="259" customFormat="1" ht="27.95" customHeight="1" x14ac:dyDescent="0.2">
      <c r="A14" s="255">
        <v>8</v>
      </c>
      <c r="B14" s="253" t="s">
        <v>332</v>
      </c>
      <c r="C14" s="254">
        <f>CAPINAÇÃO!D89</f>
        <v>32</v>
      </c>
      <c r="D14" s="255" t="s">
        <v>45</v>
      </c>
      <c r="E14" s="256">
        <f>CAPINAÇÃO!D84/CAPINAÇÃO!D89</f>
        <v>2183.8222313110118</v>
      </c>
      <c r="F14" s="257">
        <f>BDI!C12</f>
        <v>0.29709999999999998</v>
      </c>
      <c r="G14" s="258">
        <f t="shared" si="2"/>
        <v>2832.64</v>
      </c>
      <c r="H14" s="281">
        <f t="shared" si="3"/>
        <v>69882.311401952378</v>
      </c>
      <c r="I14" s="281">
        <f>ROUND(C14*G14,2)</f>
        <v>90644.479999999996</v>
      </c>
      <c r="J14" s="288">
        <f t="shared" si="6"/>
        <v>90644.479999999996</v>
      </c>
      <c r="K14" s="288">
        <f t="shared" si="8"/>
        <v>90644.479999999996</v>
      </c>
      <c r="L14" s="288">
        <f t="shared" si="8"/>
        <v>90644.479999999996</v>
      </c>
      <c r="M14" s="288">
        <f t="shared" si="8"/>
        <v>90644.479999999996</v>
      </c>
      <c r="N14" s="288">
        <f t="shared" si="8"/>
        <v>90644.479999999996</v>
      </c>
      <c r="O14" s="288">
        <f t="shared" si="8"/>
        <v>90644.479999999996</v>
      </c>
      <c r="P14" s="288">
        <f t="shared" si="8"/>
        <v>90644.479999999996</v>
      </c>
      <c r="Q14" s="288">
        <f t="shared" si="8"/>
        <v>90644.479999999996</v>
      </c>
      <c r="R14" s="288">
        <f t="shared" si="8"/>
        <v>90644.479999999996</v>
      </c>
      <c r="S14" s="288">
        <f t="shared" si="8"/>
        <v>90644.479999999996</v>
      </c>
      <c r="T14" s="288">
        <f t="shared" si="8"/>
        <v>90644.479999999996</v>
      </c>
      <c r="U14" s="288">
        <f t="shared" si="8"/>
        <v>90644.479999999996</v>
      </c>
      <c r="V14" s="265">
        <f t="shared" si="5"/>
        <v>1087733.76</v>
      </c>
    </row>
    <row r="15" spans="1:22" s="259" customFormat="1" ht="27.95" customHeight="1" x14ac:dyDescent="0.2">
      <c r="A15" s="252">
        <v>9</v>
      </c>
      <c r="B15" s="253" t="s">
        <v>316</v>
      </c>
      <c r="C15" s="254">
        <f>pintura!D68</f>
        <v>32</v>
      </c>
      <c r="D15" s="255" t="s">
        <v>45</v>
      </c>
      <c r="E15" s="256">
        <f>pintura!D63/pintura!D68</f>
        <v>542.52183727678573</v>
      </c>
      <c r="F15" s="257">
        <f>BDI!C12</f>
        <v>0.29709999999999998</v>
      </c>
      <c r="G15" s="258">
        <f t="shared" si="2"/>
        <v>703.71</v>
      </c>
      <c r="H15" s="281">
        <f t="shared" si="3"/>
        <v>17360.698792857143</v>
      </c>
      <c r="I15" s="281">
        <f>ROUND(C15*G15,2)</f>
        <v>22518.720000000001</v>
      </c>
      <c r="J15" s="288">
        <f t="shared" si="6"/>
        <v>22518.720000000001</v>
      </c>
      <c r="K15" s="288">
        <f t="shared" si="8"/>
        <v>22518.720000000001</v>
      </c>
      <c r="L15" s="288">
        <f t="shared" si="8"/>
        <v>22518.720000000001</v>
      </c>
      <c r="M15" s="288">
        <f t="shared" si="8"/>
        <v>22518.720000000001</v>
      </c>
      <c r="N15" s="288">
        <f t="shared" si="8"/>
        <v>22518.720000000001</v>
      </c>
      <c r="O15" s="288">
        <f t="shared" si="8"/>
        <v>22518.720000000001</v>
      </c>
      <c r="P15" s="288">
        <f t="shared" si="8"/>
        <v>22518.720000000001</v>
      </c>
      <c r="Q15" s="288">
        <f t="shared" si="8"/>
        <v>22518.720000000001</v>
      </c>
      <c r="R15" s="288">
        <f t="shared" si="8"/>
        <v>22518.720000000001</v>
      </c>
      <c r="S15" s="288">
        <f t="shared" si="8"/>
        <v>22518.720000000001</v>
      </c>
      <c r="T15" s="288">
        <f t="shared" si="8"/>
        <v>22518.720000000001</v>
      </c>
      <c r="U15" s="288">
        <f t="shared" si="8"/>
        <v>22518.720000000001</v>
      </c>
      <c r="V15" s="265">
        <f t="shared" si="5"/>
        <v>270224.64000000001</v>
      </c>
    </row>
    <row r="16" spans="1:22" s="259" customFormat="1" ht="27.95" customHeight="1" x14ac:dyDescent="0.2">
      <c r="A16" s="255">
        <v>10</v>
      </c>
      <c r="B16" s="253" t="s">
        <v>649</v>
      </c>
      <c r="C16" s="254">
        <f>diversos!D87</f>
        <v>2</v>
      </c>
      <c r="D16" s="255" t="s">
        <v>424</v>
      </c>
      <c r="E16" s="256">
        <f>diversos!D82/diversos!D87</f>
        <v>79076.875429730164</v>
      </c>
      <c r="F16" s="257">
        <f>BDI!C12</f>
        <v>0.29709999999999998</v>
      </c>
      <c r="G16" s="258">
        <f t="shared" si="2"/>
        <v>102570.62</v>
      </c>
      <c r="H16" s="281">
        <f t="shared" si="3"/>
        <v>158153.75085946033</v>
      </c>
      <c r="I16" s="281">
        <f>ROUND(C16*G16,2)</f>
        <v>205141.24</v>
      </c>
      <c r="J16" s="288">
        <f t="shared" si="6"/>
        <v>205141.24</v>
      </c>
      <c r="K16" s="288">
        <f t="shared" si="8"/>
        <v>205141.24</v>
      </c>
      <c r="L16" s="288">
        <f t="shared" si="8"/>
        <v>205141.24</v>
      </c>
      <c r="M16" s="288">
        <f t="shared" si="8"/>
        <v>205141.24</v>
      </c>
      <c r="N16" s="288">
        <f t="shared" si="8"/>
        <v>205141.24</v>
      </c>
      <c r="O16" s="288">
        <f t="shared" si="8"/>
        <v>205141.24</v>
      </c>
      <c r="P16" s="288">
        <f t="shared" si="8"/>
        <v>205141.24</v>
      </c>
      <c r="Q16" s="288">
        <f t="shared" si="8"/>
        <v>205141.24</v>
      </c>
      <c r="R16" s="288">
        <f t="shared" si="8"/>
        <v>205141.24</v>
      </c>
      <c r="S16" s="288">
        <f t="shared" si="8"/>
        <v>205141.24</v>
      </c>
      <c r="T16" s="288">
        <f t="shared" si="8"/>
        <v>205141.24</v>
      </c>
      <c r="U16" s="288">
        <f t="shared" si="8"/>
        <v>205141.24</v>
      </c>
      <c r="V16" s="265">
        <f t="shared" si="5"/>
        <v>2461694.88</v>
      </c>
    </row>
    <row r="17" spans="1:22" s="259" customFormat="1" ht="27.95" customHeight="1" x14ac:dyDescent="0.2">
      <c r="A17" s="252">
        <v>11</v>
      </c>
      <c r="B17" s="253" t="s">
        <v>629</v>
      </c>
      <c r="C17" s="254">
        <f>TRANSP!D107</f>
        <v>3496.46</v>
      </c>
      <c r="D17" s="255" t="s">
        <v>219</v>
      </c>
      <c r="E17" s="256">
        <f>ROUND(TRANSP!D102/TRANSP!D107,2)</f>
        <v>101</v>
      </c>
      <c r="F17" s="257">
        <f>BDI!C12</f>
        <v>0.29709999999999998</v>
      </c>
      <c r="G17" s="258">
        <f t="shared" si="2"/>
        <v>131.01</v>
      </c>
      <c r="H17" s="281">
        <f t="shared" si="3"/>
        <v>353142.46</v>
      </c>
      <c r="I17" s="281">
        <f>ROUND(C17*G17,2)</f>
        <v>458071.22</v>
      </c>
      <c r="J17" s="288">
        <f t="shared" si="6"/>
        <v>458071.22</v>
      </c>
      <c r="K17" s="288">
        <f t="shared" si="8"/>
        <v>458071.22</v>
      </c>
      <c r="L17" s="288">
        <f t="shared" si="8"/>
        <v>458071.22</v>
      </c>
      <c r="M17" s="288">
        <f t="shared" si="8"/>
        <v>458071.22</v>
      </c>
      <c r="N17" s="288">
        <f t="shared" si="8"/>
        <v>458071.22</v>
      </c>
      <c r="O17" s="288">
        <f t="shared" si="8"/>
        <v>458071.22</v>
      </c>
      <c r="P17" s="288">
        <f t="shared" si="8"/>
        <v>458071.22</v>
      </c>
      <c r="Q17" s="288">
        <f t="shared" si="8"/>
        <v>458071.22</v>
      </c>
      <c r="R17" s="288">
        <f t="shared" si="8"/>
        <v>458071.22</v>
      </c>
      <c r="S17" s="288">
        <f t="shared" si="8"/>
        <v>458071.22</v>
      </c>
      <c r="T17" s="288">
        <f t="shared" si="8"/>
        <v>458071.22</v>
      </c>
      <c r="U17" s="288">
        <f t="shared" si="8"/>
        <v>458071.22</v>
      </c>
      <c r="V17" s="265">
        <f t="shared" si="5"/>
        <v>5496854.6399999978</v>
      </c>
    </row>
    <row r="18" spans="1:22" s="259" customFormat="1" ht="27.95" customHeight="1" x14ac:dyDescent="0.2">
      <c r="A18" s="252">
        <v>12</v>
      </c>
      <c r="B18" s="253" t="s">
        <v>662</v>
      </c>
      <c r="C18" s="254"/>
      <c r="D18" s="255"/>
      <c r="E18" s="256"/>
      <c r="F18" s="257"/>
      <c r="G18" s="258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65"/>
    </row>
    <row r="19" spans="1:22" s="259" customFormat="1" ht="27.95" customHeight="1" x14ac:dyDescent="0.2">
      <c r="A19" s="252" t="s">
        <v>808</v>
      </c>
      <c r="B19" s="253" t="s">
        <v>68</v>
      </c>
      <c r="C19" s="254">
        <v>1</v>
      </c>
      <c r="D19" s="255" t="s">
        <v>655</v>
      </c>
      <c r="E19" s="256">
        <f>ROUND(([1]aterro!$J$6),2)</f>
        <v>56039.98</v>
      </c>
      <c r="F19" s="257">
        <f>BDI!C12</f>
        <v>0.29709999999999998</v>
      </c>
      <c r="G19" s="258">
        <f>ROUND(E19*(1+F19),2)</f>
        <v>72689.460000000006</v>
      </c>
      <c r="H19" s="281">
        <f>C19*E19</f>
        <v>56039.98</v>
      </c>
      <c r="I19" s="281">
        <f>C19*G19</f>
        <v>72689.460000000006</v>
      </c>
      <c r="J19" s="288">
        <f>$I19</f>
        <v>72689.460000000006</v>
      </c>
      <c r="K19" s="288">
        <f t="shared" si="8"/>
        <v>72689.460000000006</v>
      </c>
      <c r="L19" s="288">
        <f t="shared" si="8"/>
        <v>72689.460000000006</v>
      </c>
      <c r="M19" s="288">
        <f t="shared" si="8"/>
        <v>72689.460000000006</v>
      </c>
      <c r="N19" s="288">
        <f t="shared" si="8"/>
        <v>72689.460000000006</v>
      </c>
      <c r="O19" s="288">
        <f t="shared" si="8"/>
        <v>72689.460000000006</v>
      </c>
      <c r="P19" s="288">
        <f t="shared" si="8"/>
        <v>72689.460000000006</v>
      </c>
      <c r="Q19" s="288">
        <f t="shared" si="8"/>
        <v>72689.460000000006</v>
      </c>
      <c r="R19" s="288">
        <f t="shared" si="8"/>
        <v>72689.460000000006</v>
      </c>
      <c r="S19" s="288">
        <f t="shared" si="8"/>
        <v>72689.460000000006</v>
      </c>
      <c r="T19" s="288">
        <f t="shared" si="8"/>
        <v>72689.460000000006</v>
      </c>
      <c r="U19" s="288">
        <f t="shared" si="8"/>
        <v>72689.460000000006</v>
      </c>
      <c r="V19" s="265">
        <f t="shared" si="5"/>
        <v>872273.5199999999</v>
      </c>
    </row>
    <row r="20" spans="1:22" s="259" customFormat="1" ht="27.95" customHeight="1" x14ac:dyDescent="0.2">
      <c r="A20" s="252" t="s">
        <v>809</v>
      </c>
      <c r="B20" s="253" t="s">
        <v>58</v>
      </c>
      <c r="C20" s="254">
        <v>1</v>
      </c>
      <c r="D20" s="255" t="s">
        <v>655</v>
      </c>
      <c r="E20" s="256">
        <f>([1]aterro!$J$19)</f>
        <v>95413.200000000012</v>
      </c>
      <c r="F20" s="257">
        <f>BDI!C12</f>
        <v>0.29709999999999998</v>
      </c>
      <c r="G20" s="258">
        <f>(E20*(1+F20))</f>
        <v>123760.46172000001</v>
      </c>
      <c r="H20" s="281">
        <f>C20*E20</f>
        <v>95413.200000000012</v>
      </c>
      <c r="I20" s="281">
        <f>C20*G20</f>
        <v>123760.46172000001</v>
      </c>
      <c r="J20" s="288">
        <f t="shared" ref="J20:J23" si="10">$I20</f>
        <v>123760.46172000001</v>
      </c>
      <c r="K20" s="288">
        <f t="shared" si="8"/>
        <v>123760.46172000001</v>
      </c>
      <c r="L20" s="288">
        <f t="shared" si="8"/>
        <v>123760.46172000001</v>
      </c>
      <c r="M20" s="288">
        <f t="shared" si="8"/>
        <v>123760.46172000001</v>
      </c>
      <c r="N20" s="288">
        <f t="shared" si="8"/>
        <v>123760.46172000001</v>
      </c>
      <c r="O20" s="288">
        <f t="shared" si="8"/>
        <v>123760.46172000001</v>
      </c>
      <c r="P20" s="288">
        <f t="shared" si="8"/>
        <v>123760.46172000001</v>
      </c>
      <c r="Q20" s="288">
        <f t="shared" si="8"/>
        <v>123760.46172000001</v>
      </c>
      <c r="R20" s="288">
        <f t="shared" si="8"/>
        <v>123760.46172000001</v>
      </c>
      <c r="S20" s="288">
        <f t="shared" si="8"/>
        <v>123760.46172000001</v>
      </c>
      <c r="T20" s="288">
        <f t="shared" si="8"/>
        <v>123760.46172000001</v>
      </c>
      <c r="U20" s="288">
        <f t="shared" si="8"/>
        <v>123760.46172000001</v>
      </c>
      <c r="V20" s="265">
        <f t="shared" si="5"/>
        <v>1485125.54064</v>
      </c>
    </row>
    <row r="21" spans="1:22" s="259" customFormat="1" ht="27.95" customHeight="1" x14ac:dyDescent="0.2">
      <c r="A21" s="252" t="s">
        <v>810</v>
      </c>
      <c r="B21" s="253" t="s">
        <v>650</v>
      </c>
      <c r="C21" s="254">
        <v>1</v>
      </c>
      <c r="D21" s="255" t="s">
        <v>655</v>
      </c>
      <c r="E21" s="256">
        <f>([1]aterro!$J$32+[1]aterro!$J$42+[1]aterro!$J$48)/12</f>
        <v>16849.373623666666</v>
      </c>
      <c r="F21" s="257">
        <f>BDI!C12</f>
        <v>0.29709999999999998</v>
      </c>
      <c r="G21" s="258">
        <f>ROUND(E21*(1+F21),2)</f>
        <v>21855.32</v>
      </c>
      <c r="H21" s="281">
        <f t="shared" ref="H21:H22" si="11">C21*E21</f>
        <v>16849.373623666666</v>
      </c>
      <c r="I21" s="281">
        <f t="shared" ref="I21:I22" si="12">C21*G21</f>
        <v>21855.32</v>
      </c>
      <c r="J21" s="288">
        <f t="shared" si="10"/>
        <v>21855.32</v>
      </c>
      <c r="K21" s="288">
        <f t="shared" si="8"/>
        <v>21855.32</v>
      </c>
      <c r="L21" s="288">
        <f t="shared" si="8"/>
        <v>21855.32</v>
      </c>
      <c r="M21" s="288">
        <f t="shared" si="8"/>
        <v>21855.32</v>
      </c>
      <c r="N21" s="288">
        <f t="shared" si="8"/>
        <v>21855.32</v>
      </c>
      <c r="O21" s="288">
        <f t="shared" si="8"/>
        <v>21855.32</v>
      </c>
      <c r="P21" s="288">
        <f t="shared" si="8"/>
        <v>21855.32</v>
      </c>
      <c r="Q21" s="288">
        <f t="shared" si="8"/>
        <v>21855.32</v>
      </c>
      <c r="R21" s="288">
        <f t="shared" si="8"/>
        <v>21855.32</v>
      </c>
      <c r="S21" s="288">
        <f t="shared" si="8"/>
        <v>21855.32</v>
      </c>
      <c r="T21" s="288">
        <f t="shared" si="8"/>
        <v>21855.32</v>
      </c>
      <c r="U21" s="288">
        <f t="shared" si="8"/>
        <v>21855.32</v>
      </c>
      <c r="V21" s="265">
        <f t="shared" si="5"/>
        <v>262263.84000000003</v>
      </c>
    </row>
    <row r="22" spans="1:22" s="259" customFormat="1" ht="27.95" customHeight="1" x14ac:dyDescent="0.2">
      <c r="A22" s="252" t="s">
        <v>811</v>
      </c>
      <c r="B22" s="260" t="s">
        <v>663</v>
      </c>
      <c r="C22" s="254">
        <v>1</v>
      </c>
      <c r="D22" s="255" t="s">
        <v>655</v>
      </c>
      <c r="E22" s="256">
        <f>[1]aterro!$J$28</f>
        <v>4089.71</v>
      </c>
      <c r="F22" s="257">
        <f>BDI!C12</f>
        <v>0.29709999999999998</v>
      </c>
      <c r="G22" s="258">
        <f>ROUND(E22*(1+F22),2)</f>
        <v>5304.76</v>
      </c>
      <c r="H22" s="281">
        <f t="shared" si="11"/>
        <v>4089.71</v>
      </c>
      <c r="I22" s="281">
        <f t="shared" si="12"/>
        <v>5304.76</v>
      </c>
      <c r="J22" s="288">
        <f t="shared" si="10"/>
        <v>5304.76</v>
      </c>
      <c r="K22" s="288">
        <f t="shared" si="8"/>
        <v>5304.76</v>
      </c>
      <c r="L22" s="288">
        <f t="shared" si="8"/>
        <v>5304.76</v>
      </c>
      <c r="M22" s="288">
        <f t="shared" si="8"/>
        <v>5304.76</v>
      </c>
      <c r="N22" s="288">
        <f t="shared" si="8"/>
        <v>5304.76</v>
      </c>
      <c r="O22" s="288">
        <f t="shared" si="8"/>
        <v>5304.76</v>
      </c>
      <c r="P22" s="288">
        <f t="shared" si="8"/>
        <v>5304.76</v>
      </c>
      <c r="Q22" s="288">
        <f t="shared" si="8"/>
        <v>5304.76</v>
      </c>
      <c r="R22" s="288">
        <f t="shared" si="8"/>
        <v>5304.76</v>
      </c>
      <c r="S22" s="288">
        <f t="shared" si="8"/>
        <v>5304.76</v>
      </c>
      <c r="T22" s="288">
        <f t="shared" si="8"/>
        <v>5304.76</v>
      </c>
      <c r="U22" s="288">
        <f t="shared" si="8"/>
        <v>5304.76</v>
      </c>
      <c r="V22" s="265">
        <f t="shared" si="5"/>
        <v>63657.120000000017</v>
      </c>
    </row>
    <row r="23" spans="1:22" s="259" customFormat="1" ht="27.95" customHeight="1" x14ac:dyDescent="0.2">
      <c r="A23" s="252">
        <v>13</v>
      </c>
      <c r="B23" s="253" t="s">
        <v>455</v>
      </c>
      <c r="C23" s="254">
        <v>1</v>
      </c>
      <c r="D23" s="261" t="s">
        <v>565</v>
      </c>
      <c r="E23" s="256">
        <f>'Adm1'!C177</f>
        <v>108121.9869066244</v>
      </c>
      <c r="F23" s="257">
        <f>BDI!C12</f>
        <v>0.29709999999999998</v>
      </c>
      <c r="G23" s="258">
        <f>ROUND(E23*(1+F23),2)</f>
        <v>140245.03</v>
      </c>
      <c r="H23" s="281">
        <f t="shared" ref="H23" si="13">C23*E23</f>
        <v>108121.9869066244</v>
      </c>
      <c r="I23" s="281">
        <f t="shared" ref="I23" si="14">C23*G23</f>
        <v>140245.03</v>
      </c>
      <c r="J23" s="288">
        <f t="shared" si="10"/>
        <v>140245.03</v>
      </c>
      <c r="K23" s="288">
        <f t="shared" si="8"/>
        <v>140245.03</v>
      </c>
      <c r="L23" s="288">
        <f t="shared" si="8"/>
        <v>140245.03</v>
      </c>
      <c r="M23" s="288">
        <f t="shared" si="8"/>
        <v>140245.03</v>
      </c>
      <c r="N23" s="288">
        <f t="shared" si="8"/>
        <v>140245.03</v>
      </c>
      <c r="O23" s="288">
        <f t="shared" si="8"/>
        <v>140245.03</v>
      </c>
      <c r="P23" s="288">
        <f t="shared" si="8"/>
        <v>140245.03</v>
      </c>
      <c r="Q23" s="288">
        <f t="shared" si="8"/>
        <v>140245.03</v>
      </c>
      <c r="R23" s="288">
        <f t="shared" si="8"/>
        <v>140245.03</v>
      </c>
      <c r="S23" s="288">
        <f t="shared" si="8"/>
        <v>140245.03</v>
      </c>
      <c r="T23" s="288">
        <f t="shared" si="8"/>
        <v>140245.03</v>
      </c>
      <c r="U23" s="288">
        <f t="shared" si="8"/>
        <v>140245.03</v>
      </c>
      <c r="V23" s="265">
        <f t="shared" si="5"/>
        <v>1682940.36</v>
      </c>
    </row>
    <row r="24" spans="1:22" s="259" customFormat="1" ht="21.95" customHeight="1" x14ac:dyDescent="0.2">
      <c r="A24" s="262"/>
      <c r="B24" s="6"/>
      <c r="C24" s="263"/>
      <c r="D24" s="255"/>
      <c r="E24" s="256"/>
      <c r="F24" s="257"/>
      <c r="G24" s="258"/>
      <c r="H24" s="281"/>
      <c r="I24" s="281"/>
      <c r="J24" s="285"/>
      <c r="K24" s="5"/>
      <c r="L24" s="286"/>
      <c r="M24" s="6"/>
      <c r="N24" s="286"/>
      <c r="O24" s="286"/>
      <c r="P24" s="6"/>
      <c r="Q24" s="6"/>
      <c r="R24" s="6"/>
      <c r="S24" s="6"/>
      <c r="T24" s="6"/>
      <c r="U24" s="6"/>
      <c r="V24" s="6"/>
    </row>
    <row r="25" spans="1:22" s="259" customFormat="1" ht="21.95" customHeight="1" x14ac:dyDescent="0.2">
      <c r="A25" s="262"/>
      <c r="B25" s="264" t="s">
        <v>180</v>
      </c>
      <c r="C25" s="265"/>
      <c r="D25" s="264"/>
      <c r="E25" s="266"/>
      <c r="F25" s="280"/>
      <c r="G25" s="287"/>
      <c r="H25" s="287">
        <f>SUM(H7:H24)</f>
        <v>2473649.8569121803</v>
      </c>
      <c r="I25" s="287">
        <f>SUM(I7:I24)</f>
        <v>3208572.8217199994</v>
      </c>
      <c r="J25" s="287">
        <f>SUM(J7:J23)</f>
        <v>3208572.8217199994</v>
      </c>
      <c r="K25" s="287">
        <f t="shared" ref="K25:U25" si="15">SUM(K7:K23)</f>
        <v>3208572.8217199994</v>
      </c>
      <c r="L25" s="287">
        <f t="shared" si="15"/>
        <v>3208572.8217199994</v>
      </c>
      <c r="M25" s="287">
        <f t="shared" si="15"/>
        <v>3208572.8217199994</v>
      </c>
      <c r="N25" s="287">
        <f t="shared" si="15"/>
        <v>3208572.8217199994</v>
      </c>
      <c r="O25" s="287">
        <f t="shared" si="15"/>
        <v>3208572.8217199994</v>
      </c>
      <c r="P25" s="287">
        <f t="shared" si="15"/>
        <v>3208572.8217199994</v>
      </c>
      <c r="Q25" s="287">
        <f t="shared" si="15"/>
        <v>3208572.8217199994</v>
      </c>
      <c r="R25" s="287">
        <f t="shared" si="15"/>
        <v>3208572.8217199994</v>
      </c>
      <c r="S25" s="287">
        <f t="shared" si="15"/>
        <v>3208572.8217199994</v>
      </c>
      <c r="T25" s="287">
        <f t="shared" si="15"/>
        <v>3208572.8217199994</v>
      </c>
      <c r="U25" s="287">
        <f t="shared" si="15"/>
        <v>3208572.8217199994</v>
      </c>
      <c r="V25" s="265">
        <f>SUM(J25:U25)</f>
        <v>38502873.860639997</v>
      </c>
    </row>
    <row r="26" spans="1:22" ht="36" customHeight="1" x14ac:dyDescent="0.2">
      <c r="A26" s="324"/>
      <c r="B26" s="324"/>
      <c r="C26" s="324"/>
      <c r="D26" s="324"/>
      <c r="E26" s="324"/>
      <c r="F26" s="324"/>
      <c r="G26" s="324"/>
      <c r="H26" s="267"/>
      <c r="I26" s="268"/>
      <c r="J26" s="269"/>
      <c r="N26" s="96"/>
      <c r="O26" s="97"/>
      <c r="P26" s="96"/>
    </row>
    <row r="27" spans="1:22" x14ac:dyDescent="0.2">
      <c r="H27" s="271"/>
      <c r="I27" s="271"/>
      <c r="J27" s="269"/>
      <c r="N27" s="96"/>
      <c r="O27" s="97"/>
      <c r="P27" s="96"/>
    </row>
    <row r="28" spans="1:22" x14ac:dyDescent="0.2">
      <c r="G28" s="283"/>
      <c r="H28" s="271"/>
      <c r="I28" s="284"/>
      <c r="N28" s="96"/>
      <c r="O28" s="97"/>
      <c r="P28" s="96"/>
    </row>
    <row r="29" spans="1:22" x14ac:dyDescent="0.2">
      <c r="I29" s="272"/>
      <c r="N29" s="96"/>
      <c r="O29" s="97"/>
      <c r="P29" s="96"/>
    </row>
    <row r="30" spans="1:22" x14ac:dyDescent="0.2">
      <c r="I30" s="272"/>
      <c r="N30" s="96"/>
      <c r="O30" s="97"/>
      <c r="P30" s="96"/>
    </row>
    <row r="31" spans="1:22" x14ac:dyDescent="0.2">
      <c r="B31" s="273"/>
      <c r="H31" s="271"/>
      <c r="I31" s="271"/>
      <c r="N31" s="96"/>
      <c r="O31" s="97"/>
      <c r="P31" s="96"/>
    </row>
    <row r="32" spans="1:22" x14ac:dyDescent="0.2">
      <c r="B32" s="273"/>
      <c r="H32" s="271"/>
      <c r="I32" s="271"/>
      <c r="N32" s="96"/>
      <c r="O32" s="97"/>
      <c r="P32" s="96"/>
    </row>
    <row r="33" spans="2:16" x14ac:dyDescent="0.2">
      <c r="B33" s="274"/>
      <c r="N33" s="96"/>
      <c r="O33" s="97"/>
      <c r="P33" s="96"/>
    </row>
    <row r="34" spans="2:16" x14ac:dyDescent="0.2">
      <c r="B34" s="274"/>
      <c r="N34" s="96"/>
      <c r="O34" s="97"/>
      <c r="P34" s="96"/>
    </row>
    <row r="35" spans="2:16" x14ac:dyDescent="0.2">
      <c r="B35" s="275"/>
      <c r="K35" s="276"/>
      <c r="N35" s="96"/>
      <c r="O35" s="97"/>
      <c r="P35" s="96"/>
    </row>
    <row r="36" spans="2:16" x14ac:dyDescent="0.2">
      <c r="B36" s="273"/>
      <c r="H36" s="97"/>
      <c r="I36" s="97"/>
      <c r="K36" s="276"/>
      <c r="N36" s="96"/>
      <c r="O36" s="97"/>
      <c r="P36" s="96"/>
    </row>
    <row r="37" spans="2:16" x14ac:dyDescent="0.2">
      <c r="B37" s="274"/>
      <c r="K37" s="276"/>
      <c r="N37" s="96"/>
      <c r="O37" s="97"/>
      <c r="P37" s="96"/>
    </row>
    <row r="38" spans="2:16" x14ac:dyDescent="0.2">
      <c r="B38" s="275"/>
      <c r="K38" s="276"/>
      <c r="N38" s="96"/>
      <c r="O38" s="97"/>
      <c r="P38" s="96"/>
    </row>
    <row r="39" spans="2:16" x14ac:dyDescent="0.2">
      <c r="B39" s="273"/>
      <c r="H39" s="97"/>
      <c r="I39" s="97"/>
      <c r="K39" s="276"/>
      <c r="N39" s="96"/>
      <c r="O39" s="97"/>
      <c r="P39" s="96"/>
    </row>
    <row r="40" spans="2:16" x14ac:dyDescent="0.2">
      <c r="B40" s="274"/>
      <c r="K40" s="276"/>
      <c r="N40" s="96"/>
      <c r="O40" s="97"/>
      <c r="P40" s="96"/>
    </row>
    <row r="41" spans="2:16" x14ac:dyDescent="0.2">
      <c r="B41" s="274"/>
      <c r="K41" s="276"/>
      <c r="N41" s="96"/>
      <c r="O41" s="97"/>
      <c r="P41" s="96"/>
    </row>
    <row r="42" spans="2:16" x14ac:dyDescent="0.2">
      <c r="B42" s="274"/>
    </row>
    <row r="43" spans="2:16" x14ac:dyDescent="0.2">
      <c r="B43" s="274"/>
    </row>
    <row r="44" spans="2:16" x14ac:dyDescent="0.2">
      <c r="B44" s="274"/>
      <c r="C44" s="277"/>
    </row>
    <row r="45" spans="2:16" x14ac:dyDescent="0.2">
      <c r="B45" s="274"/>
    </row>
    <row r="46" spans="2:16" x14ac:dyDescent="0.2">
      <c r="B46" s="273"/>
    </row>
    <row r="47" spans="2:16" x14ac:dyDescent="0.2">
      <c r="B47" s="273"/>
    </row>
    <row r="48" spans="2:16" x14ac:dyDescent="0.2">
      <c r="B48" s="274"/>
    </row>
    <row r="49" spans="2:11" x14ac:dyDescent="0.2">
      <c r="B49" s="273"/>
      <c r="J49" s="278"/>
      <c r="K49" s="271"/>
    </row>
    <row r="50" spans="2:11" x14ac:dyDescent="0.2">
      <c r="B50" s="273"/>
    </row>
    <row r="51" spans="2:11" x14ac:dyDescent="0.2">
      <c r="B51" s="98"/>
    </row>
  </sheetData>
  <mergeCells count="15">
    <mergeCell ref="J5:U5"/>
    <mergeCell ref="V5:V6"/>
    <mergeCell ref="I5:I6"/>
    <mergeCell ref="A2:G2"/>
    <mergeCell ref="A3:G3"/>
    <mergeCell ref="A4:G4"/>
    <mergeCell ref="A5:A6"/>
    <mergeCell ref="B5:B6"/>
    <mergeCell ref="C5:C6"/>
    <mergeCell ref="D5:D6"/>
    <mergeCell ref="A26:G26"/>
    <mergeCell ref="E5:E6"/>
    <mergeCell ref="F5:F6"/>
    <mergeCell ref="G5:G6"/>
    <mergeCell ref="H5:H6"/>
  </mergeCells>
  <printOptions horizontalCentered="1"/>
  <pageMargins left="0.39370078740157483" right="0.39370078740157483" top="0.78740157480314965" bottom="0.78740157480314965" header="0.31496062992125984" footer="0.27559055118110237"/>
  <pageSetup paperSize="9" scale="58" orientation="landscape" r:id="rId1"/>
  <headerFooter>
    <oddHeader>&amp;L&amp;G</oddHeader>
    <oddFooter>&amp;C&amp;"Calibri,Regular"&amp;9CNPJ: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67BE7-3D00-4809-A6CF-1B27FD41D132}">
  <dimension ref="A1:O64"/>
  <sheetViews>
    <sheetView view="pageBreakPreview" topLeftCell="A5" zoomScaleNormal="100" zoomScaleSheetLayoutView="100" workbookViewId="0">
      <selection activeCell="E5" sqref="E1:Q1048576"/>
    </sheetView>
  </sheetViews>
  <sheetFormatPr defaultColWidth="12" defaultRowHeight="12.75" x14ac:dyDescent="0.2"/>
  <cols>
    <col min="1" max="1" width="60.83203125" style="11" customWidth="1"/>
    <col min="2" max="2" width="18.83203125" style="11" customWidth="1"/>
    <col min="3" max="3" width="10.1640625" style="11" customWidth="1"/>
    <col min="4" max="4" width="12" style="11"/>
    <col min="5" max="5" width="16.33203125" style="11" hidden="1" customWidth="1"/>
    <col min="6" max="6" width="15.1640625" style="11" hidden="1" customWidth="1"/>
    <col min="7" max="7" width="14" style="59" hidden="1" customWidth="1"/>
    <col min="8" max="17" width="0" style="11" hidden="1" customWidth="1"/>
    <col min="18" max="16384" width="12" style="11"/>
  </cols>
  <sheetData>
    <row r="1" spans="1:15" ht="18.75" hidden="1" x14ac:dyDescent="0.3">
      <c r="A1" s="335" t="s">
        <v>215</v>
      </c>
      <c r="B1" s="335"/>
      <c r="C1" s="9"/>
      <c r="D1" s="9"/>
      <c r="E1" s="9"/>
      <c r="F1" s="10"/>
    </row>
    <row r="2" spans="1:15" ht="18" hidden="1" customHeight="1" x14ac:dyDescent="0.25">
      <c r="A2" s="335"/>
      <c r="B2" s="335"/>
      <c r="C2" s="9"/>
      <c r="D2" s="9"/>
      <c r="E2" s="9"/>
      <c r="F2" s="12"/>
    </row>
    <row r="3" spans="1:15" hidden="1" x14ac:dyDescent="0.2">
      <c r="A3" s="13"/>
      <c r="B3" s="13"/>
      <c r="C3" s="13"/>
      <c r="D3" s="13"/>
      <c r="E3" s="13"/>
      <c r="F3" s="13"/>
    </row>
    <row r="4" spans="1:15" hidden="1" x14ac:dyDescent="0.2">
      <c r="A4" s="14" t="s">
        <v>217</v>
      </c>
      <c r="B4" s="14" t="s">
        <v>211</v>
      </c>
      <c r="C4" s="13"/>
      <c r="E4" s="13"/>
      <c r="F4" s="13"/>
    </row>
    <row r="5" spans="1:15" x14ac:dyDescent="0.2">
      <c r="A5" s="12"/>
      <c r="B5" s="13"/>
      <c r="C5" s="13"/>
      <c r="D5" s="13"/>
      <c r="E5" s="13"/>
    </row>
    <row r="6" spans="1:15" x14ac:dyDescent="0.2">
      <c r="A6" s="336" t="s">
        <v>0</v>
      </c>
      <c r="B6" s="336"/>
      <c r="C6" s="15"/>
      <c r="D6" s="15"/>
      <c r="E6" s="15"/>
    </row>
    <row r="7" spans="1:15" x14ac:dyDescent="0.2">
      <c r="A7" s="16"/>
      <c r="B7" s="16"/>
    </row>
    <row r="8" spans="1:15" ht="15" x14ac:dyDescent="0.2">
      <c r="A8" s="337" t="s">
        <v>641</v>
      </c>
      <c r="B8" s="337"/>
    </row>
    <row r="10" spans="1:15" x14ac:dyDescent="0.2">
      <c r="A10" s="34" t="s">
        <v>15</v>
      </c>
    </row>
    <row r="12" spans="1:15" x14ac:dyDescent="0.2">
      <c r="A12" s="20" t="s">
        <v>152</v>
      </c>
      <c r="B12" s="21">
        <f>G14</f>
        <v>757708</v>
      </c>
      <c r="C12" s="11" t="s">
        <v>37</v>
      </c>
      <c r="E12" s="1" t="s">
        <v>714</v>
      </c>
      <c r="F12" s="1" t="s">
        <v>225</v>
      </c>
      <c r="G12" s="65">
        <v>510242</v>
      </c>
      <c r="I12" t="s">
        <v>522</v>
      </c>
      <c r="J12" t="s">
        <v>523</v>
      </c>
      <c r="K12" s="185" t="s">
        <v>524</v>
      </c>
      <c r="L12" t="s">
        <v>525</v>
      </c>
      <c r="M12" t="s">
        <v>526</v>
      </c>
    </row>
    <row r="13" spans="1:15" x14ac:dyDescent="0.2">
      <c r="A13" s="20" t="s">
        <v>16</v>
      </c>
      <c r="B13" s="21">
        <v>60</v>
      </c>
      <c r="C13" s="11" t="s">
        <v>55</v>
      </c>
      <c r="F13" s="11" t="s">
        <v>227</v>
      </c>
      <c r="G13" s="59">
        <f>'comp 8'!G13</f>
        <v>247466</v>
      </c>
      <c r="I13">
        <v>1</v>
      </c>
      <c r="J13" s="185">
        <f>$G$14</f>
        <v>757708</v>
      </c>
      <c r="K13" s="185">
        <f>SLN($G$14,$B$15,$G$15)</f>
        <v>121233.28</v>
      </c>
      <c r="L13" s="185">
        <f>K13</f>
        <v>121233.28</v>
      </c>
      <c r="M13" s="185">
        <f>J13-L13</f>
        <v>636474.72</v>
      </c>
      <c r="O13" s="59">
        <f>(G19/G14)*100</f>
        <v>0</v>
      </c>
    </row>
    <row r="14" spans="1:15" x14ac:dyDescent="0.2">
      <c r="A14" s="20" t="s">
        <v>17</v>
      </c>
      <c r="B14" s="60">
        <v>0.2</v>
      </c>
      <c r="G14" s="59">
        <f>SUM(G12:G13)</f>
        <v>757708</v>
      </c>
      <c r="I14">
        <v>2</v>
      </c>
      <c r="J14" s="185">
        <f>$G$14</f>
        <v>757708</v>
      </c>
      <c r="K14" s="185">
        <f>SLN($G$14,$B$15,$G$15)</f>
        <v>121233.28</v>
      </c>
      <c r="L14" s="185">
        <f>K14+L13</f>
        <v>242466.56</v>
      </c>
      <c r="M14" s="185">
        <f>J14-L14</f>
        <v>515241.44</v>
      </c>
      <c r="O14" s="59">
        <f>($G$19/M13)*100</f>
        <v>0</v>
      </c>
    </row>
    <row r="15" spans="1:15" x14ac:dyDescent="0.2">
      <c r="A15" s="20" t="s">
        <v>224</v>
      </c>
      <c r="B15" s="23">
        <f>G14*B14</f>
        <v>151541.6</v>
      </c>
      <c r="G15" s="11">
        <v>5</v>
      </c>
      <c r="I15">
        <v>3</v>
      </c>
      <c r="J15" s="185">
        <f>$G$14</f>
        <v>757708</v>
      </c>
      <c r="K15" s="185">
        <f>SLN($G$14,$B$15,$G$15)</f>
        <v>121233.28</v>
      </c>
      <c r="L15" s="185">
        <f>K15+L14</f>
        <v>363699.83999999997</v>
      </c>
      <c r="M15" s="185">
        <f>J15-L15</f>
        <v>394008.16000000003</v>
      </c>
      <c r="O15" s="59">
        <f>($G$19/M14)*100</f>
        <v>0</v>
      </c>
    </row>
    <row r="16" spans="1:15" x14ac:dyDescent="0.2">
      <c r="A16" s="11" t="s">
        <v>223</v>
      </c>
      <c r="B16" s="21">
        <f>(B12-B15)/B13</f>
        <v>10102.773333333334</v>
      </c>
      <c r="C16" s="11" t="s">
        <v>130</v>
      </c>
      <c r="I16">
        <v>4</v>
      </c>
      <c r="J16" s="185">
        <f>$G$14</f>
        <v>757708</v>
      </c>
      <c r="K16" s="185">
        <f>SLN($G$14,$B$15,$G$15)</f>
        <v>121233.28</v>
      </c>
      <c r="L16" s="185">
        <f>K16+L15</f>
        <v>484933.12</v>
      </c>
      <c r="M16" s="185">
        <f>J16-L16</f>
        <v>272774.88</v>
      </c>
      <c r="O16" s="59">
        <f>($G$19/M15)*100</f>
        <v>0</v>
      </c>
    </row>
    <row r="17" spans="1:15" x14ac:dyDescent="0.2">
      <c r="I17">
        <v>5</v>
      </c>
      <c r="J17" s="185">
        <f>$G$14</f>
        <v>757708</v>
      </c>
      <c r="K17" s="185">
        <f>SLN($G$14,$B$15,$G$15)</f>
        <v>121233.28</v>
      </c>
      <c r="L17" s="185">
        <f>K17+L16</f>
        <v>606166.4</v>
      </c>
      <c r="M17" s="185">
        <f>J17-L17</f>
        <v>151541.59999999998</v>
      </c>
      <c r="O17" s="59">
        <f>($G$19/M16)*100</f>
        <v>0</v>
      </c>
    </row>
    <row r="18" spans="1:15" x14ac:dyDescent="0.2">
      <c r="A18" s="19" t="s">
        <v>18</v>
      </c>
      <c r="O18" s="59">
        <f>($G$19/M17)*100</f>
        <v>0</v>
      </c>
    </row>
    <row r="20" spans="1:15" x14ac:dyDescent="0.2">
      <c r="A20" s="61" t="s">
        <v>19</v>
      </c>
      <c r="B20" s="16">
        <f>+B12</f>
        <v>757708</v>
      </c>
      <c r="C20" s="11" t="s">
        <v>37</v>
      </c>
      <c r="E20" s="67"/>
    </row>
    <row r="21" spans="1:15" x14ac:dyDescent="0.2">
      <c r="A21" s="61" t="s">
        <v>539</v>
      </c>
      <c r="B21" s="187">
        <f>'BASCULANTE 6'!B21</f>
        <v>0.14249999999999999</v>
      </c>
    </row>
    <row r="22" spans="1:15" x14ac:dyDescent="0.2">
      <c r="A22" s="61" t="s">
        <v>21</v>
      </c>
      <c r="B22" s="16">
        <f>((B12-B15)*B21)/12</f>
        <v>7198.2259999999997</v>
      </c>
      <c r="C22" s="11" t="s">
        <v>130</v>
      </c>
    </row>
    <row r="23" spans="1:15" x14ac:dyDescent="0.2">
      <c r="A23" s="16" t="s">
        <v>8</v>
      </c>
      <c r="B23" s="16" t="s">
        <v>8</v>
      </c>
    </row>
    <row r="24" spans="1:15" x14ac:dyDescent="0.2">
      <c r="A24" s="18" t="s">
        <v>22</v>
      </c>
      <c r="B24" s="16" t="s">
        <v>8</v>
      </c>
    </row>
    <row r="26" spans="1:15" x14ac:dyDescent="0.2">
      <c r="A26" s="20" t="s">
        <v>23</v>
      </c>
      <c r="B26" s="21">
        <f>DADOS!D21</f>
        <v>6.24</v>
      </c>
      <c r="C26" s="11" t="s">
        <v>205</v>
      </c>
    </row>
    <row r="27" spans="1:15" x14ac:dyDescent="0.2">
      <c r="A27" s="20" t="s">
        <v>570</v>
      </c>
      <c r="B27" s="21">
        <f>E27*26.08</f>
        <v>394.32959999999997</v>
      </c>
      <c r="C27" s="11" t="s">
        <v>207</v>
      </c>
      <c r="E27" s="11">
        <f>30.24/2</f>
        <v>15.12</v>
      </c>
      <c r="I27" s="67"/>
      <c r="K27" s="59"/>
    </row>
    <row r="28" spans="1:15" x14ac:dyDescent="0.2">
      <c r="A28" s="20" t="s">
        <v>24</v>
      </c>
      <c r="B28" s="21">
        <v>1.5</v>
      </c>
      <c r="C28" s="11" t="s">
        <v>206</v>
      </c>
      <c r="K28" s="59"/>
      <c r="L28" s="59"/>
    </row>
    <row r="29" spans="1:15" x14ac:dyDescent="0.2">
      <c r="A29" s="22" t="s">
        <v>25</v>
      </c>
      <c r="B29" s="21">
        <f>+(B27/B28)*B26</f>
        <v>1640.4111359999999</v>
      </c>
      <c r="C29" s="11" t="s">
        <v>130</v>
      </c>
      <c r="E29" s="24"/>
      <c r="K29" s="59"/>
    </row>
    <row r="30" spans="1:15" x14ac:dyDescent="0.2">
      <c r="A30" s="20"/>
      <c r="B30" s="21"/>
      <c r="K30" s="59"/>
    </row>
    <row r="31" spans="1:15" x14ac:dyDescent="0.2">
      <c r="A31" s="18" t="s">
        <v>26</v>
      </c>
      <c r="B31" s="16" t="s">
        <v>8</v>
      </c>
      <c r="K31" s="59"/>
    </row>
    <row r="32" spans="1:15" x14ac:dyDescent="0.2">
      <c r="K32" s="59"/>
    </row>
    <row r="33" spans="1:7" x14ac:dyDescent="0.2">
      <c r="A33" s="20" t="s">
        <v>94</v>
      </c>
      <c r="B33" s="21">
        <f>'BASCULANTE 6'!B33</f>
        <v>17849.400000000001</v>
      </c>
      <c r="C33" s="11" t="s">
        <v>37</v>
      </c>
    </row>
    <row r="34" spans="1:7" x14ac:dyDescent="0.2">
      <c r="A34" s="20" t="s">
        <v>27</v>
      </c>
      <c r="B34" s="21">
        <v>50000</v>
      </c>
      <c r="C34" s="11" t="s">
        <v>45</v>
      </c>
    </row>
    <row r="35" spans="1:7" x14ac:dyDescent="0.2">
      <c r="A35" s="20" t="s">
        <v>458</v>
      </c>
      <c r="B35" s="21">
        <f>B27</f>
        <v>394.32959999999997</v>
      </c>
      <c r="C35" s="11" t="s">
        <v>207</v>
      </c>
    </row>
    <row r="36" spans="1:7" x14ac:dyDescent="0.2">
      <c r="A36" s="20" t="s">
        <v>28</v>
      </c>
      <c r="B36" s="21">
        <f>+(B33*B35)/B34</f>
        <v>140.7709352448</v>
      </c>
      <c r="C36" s="11" t="s">
        <v>130</v>
      </c>
      <c r="E36" s="24"/>
      <c r="G36" s="233"/>
    </row>
    <row r="37" spans="1:7" x14ac:dyDescent="0.2">
      <c r="A37" s="20"/>
      <c r="B37" s="21"/>
    </row>
    <row r="38" spans="1:7" x14ac:dyDescent="0.2">
      <c r="A38" s="20" t="s">
        <v>29</v>
      </c>
    </row>
    <row r="39" spans="1:7" x14ac:dyDescent="0.2">
      <c r="A39" s="20" t="s">
        <v>7</v>
      </c>
    </row>
    <row r="40" spans="1:7" x14ac:dyDescent="0.2">
      <c r="A40" s="20" t="s">
        <v>30</v>
      </c>
      <c r="B40" s="60">
        <v>0.65</v>
      </c>
      <c r="E40" s="24"/>
    </row>
    <row r="41" spans="1:7" x14ac:dyDescent="0.2">
      <c r="A41" s="20" t="s">
        <v>554</v>
      </c>
      <c r="B41" s="24">
        <f>G14</f>
        <v>757708</v>
      </c>
      <c r="C41" s="11" t="s">
        <v>37</v>
      </c>
    </row>
    <row r="42" spans="1:7" x14ac:dyDescent="0.2">
      <c r="A42" s="20" t="s">
        <v>32</v>
      </c>
      <c r="B42" s="21">
        <v>60</v>
      </c>
      <c r="C42" s="11" t="s">
        <v>55</v>
      </c>
    </row>
    <row r="43" spans="1:7" x14ac:dyDescent="0.2">
      <c r="A43" s="20" t="s">
        <v>33</v>
      </c>
      <c r="B43" s="21">
        <f>+(B40*B41)/B42</f>
        <v>8208.503333333334</v>
      </c>
      <c r="C43" s="11" t="s">
        <v>130</v>
      </c>
    </row>
    <row r="45" spans="1:7" x14ac:dyDescent="0.2">
      <c r="A45" s="22" t="s">
        <v>74</v>
      </c>
      <c r="B45" s="21"/>
    </row>
    <row r="46" spans="1:7" x14ac:dyDescent="0.2">
      <c r="A46" s="20"/>
      <c r="B46" s="21"/>
    </row>
    <row r="47" spans="1:7" x14ac:dyDescent="0.2">
      <c r="A47" s="22" t="s">
        <v>179</v>
      </c>
      <c r="B47" s="21">
        <f>'comp 8'!B47</f>
        <v>27.529863132441598</v>
      </c>
      <c r="C47" s="11" t="s">
        <v>130</v>
      </c>
    </row>
    <row r="48" spans="1:7" x14ac:dyDescent="0.2">
      <c r="A48" s="22" t="s">
        <v>800</v>
      </c>
      <c r="B48" s="21">
        <f>'comp 8'!B48</f>
        <v>29.195296058880004</v>
      </c>
      <c r="C48" s="11" t="s">
        <v>130</v>
      </c>
    </row>
    <row r="49" spans="1:5" x14ac:dyDescent="0.2">
      <c r="A49" s="22" t="s">
        <v>807</v>
      </c>
      <c r="B49" s="21">
        <f>'comp 8'!B49/2</f>
        <v>164.42841125925924</v>
      </c>
      <c r="C49" s="11" t="s">
        <v>130</v>
      </c>
    </row>
    <row r="50" spans="1:5" x14ac:dyDescent="0.2">
      <c r="A50" s="22" t="s">
        <v>802</v>
      </c>
      <c r="B50" s="21">
        <f>'comp 8'!B50</f>
        <v>1.1829888</v>
      </c>
      <c r="C50" s="11" t="s">
        <v>130</v>
      </c>
    </row>
    <row r="51" spans="1:5" x14ac:dyDescent="0.2">
      <c r="A51" s="22" t="s">
        <v>803</v>
      </c>
      <c r="B51" s="21">
        <f>'comp 8'!B51</f>
        <v>75.652133759999998</v>
      </c>
      <c r="C51" s="11" t="s">
        <v>130</v>
      </c>
    </row>
    <row r="52" spans="1:5" x14ac:dyDescent="0.2">
      <c r="A52" s="22" t="s">
        <v>804</v>
      </c>
      <c r="B52" s="21">
        <f>'comp 8'!B52</f>
        <v>600</v>
      </c>
      <c r="C52" s="11" t="s">
        <v>130</v>
      </c>
    </row>
    <row r="53" spans="1:5" x14ac:dyDescent="0.2">
      <c r="A53" s="22" t="s">
        <v>805</v>
      </c>
      <c r="B53" s="21">
        <f>'comp 8'!B53</f>
        <v>98.424668159999996</v>
      </c>
      <c r="C53" s="11" t="s">
        <v>130</v>
      </c>
    </row>
    <row r="54" spans="1:5" x14ac:dyDescent="0.2">
      <c r="A54" s="22" t="s">
        <v>806</v>
      </c>
      <c r="B54" s="64">
        <f>+B47+B48+B49+B50+B51+B52</f>
        <v>897.98869301058085</v>
      </c>
      <c r="C54" s="11" t="s">
        <v>130</v>
      </c>
    </row>
    <row r="55" spans="1:5" x14ac:dyDescent="0.2">
      <c r="A55" s="22"/>
      <c r="B55" s="21"/>
    </row>
    <row r="56" spans="1:5" x14ac:dyDescent="0.2">
      <c r="A56" s="22" t="s">
        <v>81</v>
      </c>
      <c r="B56" s="21"/>
    </row>
    <row r="57" spans="1:5" x14ac:dyDescent="0.2">
      <c r="A57" s="22"/>
      <c r="B57" s="21"/>
    </row>
    <row r="58" spans="1:5" x14ac:dyDescent="0.2">
      <c r="A58" s="22" t="s">
        <v>151</v>
      </c>
      <c r="B58" s="21">
        <f>(+B12*3%)/12</f>
        <v>1894.2699999999998</v>
      </c>
      <c r="C58" s="11" t="s">
        <v>130</v>
      </c>
    </row>
    <row r="59" spans="1:5" x14ac:dyDescent="0.2">
      <c r="A59" s="22" t="s">
        <v>541</v>
      </c>
      <c r="B59" s="21">
        <f>(213.84+(+G12*1%))/12</f>
        <v>443.0216666666667</v>
      </c>
      <c r="C59" s="11" t="s">
        <v>130</v>
      </c>
    </row>
    <row r="60" spans="1:5" x14ac:dyDescent="0.2">
      <c r="A60" s="11" t="s">
        <v>82</v>
      </c>
      <c r="B60" s="33">
        <f>+B58+B59</f>
        <v>2337.2916666666665</v>
      </c>
      <c r="C60" s="11" t="s">
        <v>130</v>
      </c>
    </row>
    <row r="62" spans="1:5" x14ac:dyDescent="0.2">
      <c r="A62" s="25" t="s">
        <v>83</v>
      </c>
      <c r="B62" s="26">
        <f>B60+B54+B43+B36+B29+B22+B16</f>
        <v>30525.965097588716</v>
      </c>
      <c r="C62" s="29" t="s">
        <v>130</v>
      </c>
      <c r="E62" s="24"/>
    </row>
    <row r="64" spans="1:5" hidden="1" x14ac:dyDescent="0.2">
      <c r="A64" s="25" t="s">
        <v>420</v>
      </c>
      <c r="B64" s="171">
        <f>(B29+B36+B54)-B51</f>
        <v>2603.5186304953809</v>
      </c>
      <c r="C64" s="25" t="s">
        <v>130</v>
      </c>
    </row>
  </sheetData>
  <mergeCells count="4">
    <mergeCell ref="A1:B1"/>
    <mergeCell ref="A2:B2"/>
    <mergeCell ref="A6:B6"/>
    <mergeCell ref="A8:B8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4"/>
  <sheetViews>
    <sheetView view="pageBreakPreview" topLeftCell="A5" workbookViewId="0">
      <selection activeCell="G14" sqref="G14"/>
    </sheetView>
  </sheetViews>
  <sheetFormatPr defaultColWidth="12" defaultRowHeight="12.75" x14ac:dyDescent="0.2"/>
  <cols>
    <col min="1" max="1" width="60.83203125" style="11" customWidth="1"/>
    <col min="2" max="2" width="18.83203125" style="11" customWidth="1"/>
    <col min="3" max="3" width="10.1640625" style="11" customWidth="1"/>
    <col min="4" max="4" width="12" style="11" customWidth="1"/>
    <col min="5" max="5" width="16.33203125" style="11" customWidth="1"/>
    <col min="6" max="6" width="15.1640625" style="11" customWidth="1"/>
    <col min="7" max="7" width="14" style="59" customWidth="1"/>
    <col min="8" max="16384" width="12" style="11"/>
  </cols>
  <sheetData>
    <row r="1" spans="1:15" ht="18.75" hidden="1" x14ac:dyDescent="0.3">
      <c r="A1" s="335" t="s">
        <v>215</v>
      </c>
      <c r="B1" s="335"/>
      <c r="C1" s="9"/>
      <c r="D1" s="9"/>
      <c r="E1" s="9"/>
      <c r="F1" s="10"/>
    </row>
    <row r="2" spans="1:15" ht="18" hidden="1" customHeight="1" x14ac:dyDescent="0.25">
      <c r="A2" s="335"/>
      <c r="B2" s="335"/>
      <c r="C2" s="9"/>
      <c r="D2" s="9"/>
      <c r="E2" s="9"/>
      <c r="F2" s="12"/>
    </row>
    <row r="3" spans="1:15" hidden="1" x14ac:dyDescent="0.2">
      <c r="A3" s="13"/>
      <c r="B3" s="13"/>
      <c r="C3" s="13"/>
      <c r="D3" s="13"/>
      <c r="E3" s="13"/>
      <c r="F3" s="13"/>
    </row>
    <row r="4" spans="1:15" hidden="1" x14ac:dyDescent="0.2">
      <c r="A4" s="14" t="s">
        <v>217</v>
      </c>
      <c r="B4" s="14" t="s">
        <v>211</v>
      </c>
      <c r="C4" s="13"/>
      <c r="E4" s="13"/>
      <c r="F4" s="13"/>
    </row>
    <row r="5" spans="1:15" x14ac:dyDescent="0.2">
      <c r="A5" s="12"/>
      <c r="B5" s="13"/>
      <c r="C5" s="13"/>
      <c r="D5" s="13"/>
      <c r="E5" s="13"/>
    </row>
    <row r="6" spans="1:15" x14ac:dyDescent="0.2">
      <c r="A6" s="336" t="s">
        <v>0</v>
      </c>
      <c r="B6" s="336"/>
      <c r="C6" s="15"/>
      <c r="D6" s="15"/>
      <c r="E6" s="15"/>
    </row>
    <row r="7" spans="1:15" x14ac:dyDescent="0.2">
      <c r="A7" s="16"/>
      <c r="B7" s="16"/>
    </row>
    <row r="8" spans="1:15" ht="15" x14ac:dyDescent="0.2">
      <c r="A8" s="337" t="s">
        <v>327</v>
      </c>
      <c r="B8" s="337"/>
    </row>
    <row r="10" spans="1:15" x14ac:dyDescent="0.2">
      <c r="A10" s="34" t="s">
        <v>15</v>
      </c>
    </row>
    <row r="12" spans="1:15" x14ac:dyDescent="0.2">
      <c r="A12" s="20" t="s">
        <v>152</v>
      </c>
      <c r="B12" s="21">
        <f>G14</f>
        <v>843758</v>
      </c>
      <c r="C12" s="11" t="s">
        <v>37</v>
      </c>
      <c r="E12" s="1" t="s">
        <v>715</v>
      </c>
      <c r="F12" s="1" t="s">
        <v>225</v>
      </c>
      <c r="G12" s="65">
        <v>558188</v>
      </c>
      <c r="I12" t="s">
        <v>522</v>
      </c>
      <c r="J12" t="s">
        <v>523</v>
      </c>
      <c r="K12" s="185" t="s">
        <v>524</v>
      </c>
      <c r="L12" t="s">
        <v>525</v>
      </c>
      <c r="M12" t="s">
        <v>526</v>
      </c>
    </row>
    <row r="13" spans="1:15" x14ac:dyDescent="0.2">
      <c r="A13" s="20" t="s">
        <v>16</v>
      </c>
      <c r="B13" s="21">
        <v>60</v>
      </c>
      <c r="C13" s="11" t="s">
        <v>55</v>
      </c>
      <c r="F13" s="11" t="s">
        <v>227</v>
      </c>
      <c r="G13" s="59">
        <f>267325+18245</f>
        <v>285570</v>
      </c>
      <c r="I13">
        <v>1</v>
      </c>
      <c r="J13" s="185">
        <f>$G$14</f>
        <v>843758</v>
      </c>
      <c r="K13" s="185">
        <f>SLN($G$14,$B$15,$G$15)</f>
        <v>135001.28</v>
      </c>
      <c r="L13" s="185">
        <f>K13</f>
        <v>135001.28</v>
      </c>
      <c r="M13" s="185">
        <f>J13-L13</f>
        <v>708756.72</v>
      </c>
      <c r="O13" s="59">
        <f>(G19/G14)*100</f>
        <v>0</v>
      </c>
    </row>
    <row r="14" spans="1:15" x14ac:dyDescent="0.2">
      <c r="A14" s="20" t="s">
        <v>17</v>
      </c>
      <c r="B14" s="60">
        <v>0.2</v>
      </c>
      <c r="G14" s="59">
        <f>G12+G13</f>
        <v>843758</v>
      </c>
      <c r="I14">
        <v>2</v>
      </c>
      <c r="J14" s="185">
        <f>$G$14</f>
        <v>843758</v>
      </c>
      <c r="K14" s="185">
        <f>SLN($G$14,$B$15,$G$15)</f>
        <v>135001.28</v>
      </c>
      <c r="L14" s="185">
        <f>K14+L13</f>
        <v>270002.56</v>
      </c>
      <c r="M14" s="185">
        <f>J14-L14</f>
        <v>573755.43999999994</v>
      </c>
      <c r="O14" s="59">
        <f>($G$19/M13)*100</f>
        <v>0</v>
      </c>
    </row>
    <row r="15" spans="1:15" x14ac:dyDescent="0.2">
      <c r="A15" s="20" t="s">
        <v>224</v>
      </c>
      <c r="B15" s="23">
        <f>G14*B14</f>
        <v>168751.6</v>
      </c>
      <c r="G15" s="11">
        <v>5</v>
      </c>
      <c r="I15">
        <v>3</v>
      </c>
      <c r="J15" s="185">
        <f>$G$14</f>
        <v>843758</v>
      </c>
      <c r="K15" s="185">
        <f>SLN($G$14,$B$15,$G$15)</f>
        <v>135001.28</v>
      </c>
      <c r="L15" s="185">
        <f>K15+L14</f>
        <v>405003.83999999997</v>
      </c>
      <c r="M15" s="185">
        <f>J15-L15</f>
        <v>438754.16000000003</v>
      </c>
      <c r="O15" s="59">
        <f>($G$19/M14)*100</f>
        <v>0</v>
      </c>
    </row>
    <row r="16" spans="1:15" x14ac:dyDescent="0.2">
      <c r="A16" s="11" t="s">
        <v>223</v>
      </c>
      <c r="B16" s="21">
        <f>(B12-B15)/B13</f>
        <v>11250.106666666667</v>
      </c>
      <c r="C16" s="11" t="s">
        <v>130</v>
      </c>
      <c r="I16">
        <v>4</v>
      </c>
      <c r="J16" s="185">
        <f>$G$14</f>
        <v>843758</v>
      </c>
      <c r="K16" s="185">
        <f>SLN($G$14,$B$15,$G$15)</f>
        <v>135001.28</v>
      </c>
      <c r="L16" s="185">
        <f>K16+L15</f>
        <v>540005.12</v>
      </c>
      <c r="M16" s="185">
        <f>J16-L16</f>
        <v>303752.88</v>
      </c>
      <c r="O16" s="59">
        <f>($G$19/M15)*100</f>
        <v>0</v>
      </c>
    </row>
    <row r="17" spans="1:15" x14ac:dyDescent="0.2">
      <c r="I17">
        <v>5</v>
      </c>
      <c r="J17" s="185">
        <f>$G$14</f>
        <v>843758</v>
      </c>
      <c r="K17" s="185">
        <f>SLN($G$14,$B$15,$G$15)</f>
        <v>135001.28</v>
      </c>
      <c r="L17" s="185">
        <f>K17+L16</f>
        <v>675006.4</v>
      </c>
      <c r="M17" s="185">
        <f>J17-L17</f>
        <v>168751.59999999998</v>
      </c>
      <c r="O17" s="59">
        <f>($G$19/M16)*100</f>
        <v>0</v>
      </c>
    </row>
    <row r="18" spans="1:15" x14ac:dyDescent="0.2">
      <c r="A18" s="19" t="s">
        <v>18</v>
      </c>
      <c r="O18" s="59">
        <f>($G$19/M17)*100</f>
        <v>0</v>
      </c>
    </row>
    <row r="20" spans="1:15" x14ac:dyDescent="0.2">
      <c r="A20" s="61" t="s">
        <v>19</v>
      </c>
      <c r="B20" s="16">
        <f>+B12</f>
        <v>843758</v>
      </c>
      <c r="C20" s="11" t="s">
        <v>37</v>
      </c>
      <c r="E20" s="67"/>
    </row>
    <row r="21" spans="1:15" x14ac:dyDescent="0.2">
      <c r="A21" s="61" t="s">
        <v>539</v>
      </c>
      <c r="B21" s="187">
        <f>'BASCULANTE 6'!B21</f>
        <v>0.14249999999999999</v>
      </c>
    </row>
    <row r="22" spans="1:15" x14ac:dyDescent="0.2">
      <c r="A22" s="61" t="s">
        <v>21</v>
      </c>
      <c r="B22" s="16">
        <f>((B12-B15)*B21)/12</f>
        <v>8015.701</v>
      </c>
      <c r="C22" s="11" t="s">
        <v>130</v>
      </c>
    </row>
    <row r="23" spans="1:15" x14ac:dyDescent="0.2">
      <c r="A23" s="16" t="s">
        <v>8</v>
      </c>
      <c r="B23" s="16" t="s">
        <v>8</v>
      </c>
    </row>
    <row r="24" spans="1:15" x14ac:dyDescent="0.2">
      <c r="A24" s="18" t="s">
        <v>22</v>
      </c>
      <c r="B24" s="16" t="s">
        <v>8</v>
      </c>
    </row>
    <row r="26" spans="1:15" x14ac:dyDescent="0.2">
      <c r="A26" s="20" t="s">
        <v>23</v>
      </c>
      <c r="B26" s="21">
        <f>DADOS!D21</f>
        <v>6.24</v>
      </c>
      <c r="C26" s="11" t="s">
        <v>205</v>
      </c>
    </row>
    <row r="27" spans="1:15" x14ac:dyDescent="0.2">
      <c r="A27" s="20" t="s">
        <v>570</v>
      </c>
      <c r="B27" s="21">
        <f>E27*26.08</f>
        <v>788.65919999999994</v>
      </c>
      <c r="C27" s="11" t="s">
        <v>207</v>
      </c>
      <c r="E27" s="11">
        <v>30.24</v>
      </c>
      <c r="I27" s="67"/>
      <c r="K27" s="59"/>
    </row>
    <row r="28" spans="1:15" x14ac:dyDescent="0.2">
      <c r="A28" s="20" t="s">
        <v>24</v>
      </c>
      <c r="B28" s="21">
        <v>1.5</v>
      </c>
      <c r="C28" s="11" t="s">
        <v>206</v>
      </c>
      <c r="K28" s="59"/>
      <c r="L28" s="59"/>
    </row>
    <row r="29" spans="1:15" x14ac:dyDescent="0.2">
      <c r="A29" s="22" t="s">
        <v>25</v>
      </c>
      <c r="B29" s="21">
        <f>+(B27/B28)*B26</f>
        <v>3280.8222719999999</v>
      </c>
      <c r="C29" s="11" t="s">
        <v>130</v>
      </c>
      <c r="E29" s="24"/>
      <c r="K29" s="59"/>
    </row>
    <row r="30" spans="1:15" x14ac:dyDescent="0.2">
      <c r="A30" s="20"/>
      <c r="B30" s="21"/>
      <c r="K30" s="59"/>
    </row>
    <row r="31" spans="1:15" x14ac:dyDescent="0.2">
      <c r="A31" s="18" t="s">
        <v>26</v>
      </c>
      <c r="B31" s="16" t="s">
        <v>8</v>
      </c>
      <c r="K31" s="59"/>
    </row>
    <row r="32" spans="1:15" x14ac:dyDescent="0.2">
      <c r="K32" s="59"/>
    </row>
    <row r="33" spans="1:7" x14ac:dyDescent="0.2">
      <c r="A33" s="20" t="s">
        <v>94</v>
      </c>
      <c r="B33" s="21">
        <f>'BASCULANTE 6'!B33</f>
        <v>17849.400000000001</v>
      </c>
      <c r="C33" s="11" t="s">
        <v>37</v>
      </c>
    </row>
    <row r="34" spans="1:7" x14ac:dyDescent="0.2">
      <c r="A34" s="20" t="s">
        <v>27</v>
      </c>
      <c r="B34" s="21">
        <v>50000</v>
      </c>
      <c r="C34" s="11" t="s">
        <v>45</v>
      </c>
    </row>
    <row r="35" spans="1:7" x14ac:dyDescent="0.2">
      <c r="A35" s="20" t="s">
        <v>458</v>
      </c>
      <c r="B35" s="21">
        <f>B27</f>
        <v>788.65919999999994</v>
      </c>
      <c r="C35" s="11" t="s">
        <v>207</v>
      </c>
    </row>
    <row r="36" spans="1:7" x14ac:dyDescent="0.2">
      <c r="A36" s="20" t="s">
        <v>28</v>
      </c>
      <c r="B36" s="21">
        <f>+(B33*B35)/B34</f>
        <v>281.5418704896</v>
      </c>
      <c r="C36" s="11" t="s">
        <v>130</v>
      </c>
      <c r="E36" s="24"/>
      <c r="G36" s="233"/>
    </row>
    <row r="37" spans="1:7" x14ac:dyDescent="0.2">
      <c r="A37" s="20"/>
      <c r="B37" s="21"/>
    </row>
    <row r="38" spans="1:7" x14ac:dyDescent="0.2">
      <c r="A38" s="20" t="s">
        <v>29</v>
      </c>
    </row>
    <row r="39" spans="1:7" x14ac:dyDescent="0.2">
      <c r="A39" s="20" t="s">
        <v>7</v>
      </c>
    </row>
    <row r="40" spans="1:7" x14ac:dyDescent="0.2">
      <c r="A40" s="20" t="s">
        <v>30</v>
      </c>
      <c r="B40" s="60">
        <v>0.65</v>
      </c>
      <c r="E40" s="24"/>
    </row>
    <row r="41" spans="1:7" x14ac:dyDescent="0.2">
      <c r="A41" s="20" t="s">
        <v>554</v>
      </c>
      <c r="B41" s="24">
        <f>G14</f>
        <v>843758</v>
      </c>
      <c r="C41" s="11" t="s">
        <v>37</v>
      </c>
    </row>
    <row r="42" spans="1:7" x14ac:dyDescent="0.2">
      <c r="A42" s="20" t="s">
        <v>32</v>
      </c>
      <c r="B42" s="21">
        <v>60</v>
      </c>
      <c r="C42" s="11" t="s">
        <v>55</v>
      </c>
    </row>
    <row r="43" spans="1:7" x14ac:dyDescent="0.2">
      <c r="A43" s="20" t="s">
        <v>33</v>
      </c>
      <c r="B43" s="21">
        <f>+(B40*B41)/B42</f>
        <v>9140.711666666668</v>
      </c>
      <c r="C43" s="11" t="s">
        <v>130</v>
      </c>
    </row>
    <row r="45" spans="1:7" x14ac:dyDescent="0.2">
      <c r="A45" s="22" t="s">
        <v>74</v>
      </c>
      <c r="B45" s="21"/>
    </row>
    <row r="46" spans="1:7" x14ac:dyDescent="0.2">
      <c r="A46" s="20"/>
      <c r="B46" s="21"/>
    </row>
    <row r="47" spans="1:7" x14ac:dyDescent="0.2">
      <c r="A47" s="22" t="s">
        <v>179</v>
      </c>
      <c r="B47" s="21">
        <f>LUBRIF!G7*((LUBRIF!G4/LUBRIF!G8)+(((1/1000)/1000)))*B27</f>
        <v>45.860885799321593</v>
      </c>
      <c r="C47" s="11" t="s">
        <v>130</v>
      </c>
    </row>
    <row r="48" spans="1:7" x14ac:dyDescent="0.2">
      <c r="A48" s="22" t="s">
        <v>800</v>
      </c>
      <c r="B48" s="21">
        <f>(LUBRIF!G17+LUBRIF!G23)*B27</f>
        <v>41.073765465599998</v>
      </c>
      <c r="C48" s="11" t="s">
        <v>130</v>
      </c>
    </row>
    <row r="49" spans="1:5" x14ac:dyDescent="0.2">
      <c r="A49" s="22" t="s">
        <v>801</v>
      </c>
      <c r="B49" s="21">
        <f>LUBRIF!J36*(8*26.08)</f>
        <v>469.79546074074074</v>
      </c>
      <c r="C49" s="11" t="s">
        <v>130</v>
      </c>
    </row>
    <row r="50" spans="1:5" x14ac:dyDescent="0.2">
      <c r="A50" s="22" t="s">
        <v>802</v>
      </c>
      <c r="B50" s="21">
        <f>0.0015*B27</f>
        <v>1.1829888</v>
      </c>
      <c r="C50" s="11" t="s">
        <v>130</v>
      </c>
    </row>
    <row r="51" spans="1:5" x14ac:dyDescent="0.2">
      <c r="A51" s="22" t="s">
        <v>803</v>
      </c>
      <c r="B51" s="21">
        <f>LUBRIF!G28*B27</f>
        <v>75.652133759999998</v>
      </c>
      <c r="C51" s="11" t="s">
        <v>130</v>
      </c>
    </row>
    <row r="52" spans="1:5" x14ac:dyDescent="0.2">
      <c r="A52" s="22" t="s">
        <v>804</v>
      </c>
      <c r="B52" s="21">
        <f>15*40</f>
        <v>600</v>
      </c>
      <c r="C52" s="11" t="s">
        <v>130</v>
      </c>
    </row>
    <row r="53" spans="1:5" x14ac:dyDescent="0.2">
      <c r="A53" s="22" t="s">
        <v>805</v>
      </c>
      <c r="B53" s="21">
        <f>0.03*B29</f>
        <v>98.424668159999996</v>
      </c>
      <c r="C53" s="11" t="s">
        <v>130</v>
      </c>
    </row>
    <row r="54" spans="1:5" x14ac:dyDescent="0.2">
      <c r="A54" s="22" t="s">
        <v>806</v>
      </c>
      <c r="B54" s="64">
        <f>+B47+B48+B49+B50+B51+B52+B53</f>
        <v>1331.9899027256622</v>
      </c>
      <c r="C54" s="11" t="s">
        <v>130</v>
      </c>
    </row>
    <row r="55" spans="1:5" x14ac:dyDescent="0.2">
      <c r="A55" s="22"/>
      <c r="B55" s="21"/>
    </row>
    <row r="56" spans="1:5" x14ac:dyDescent="0.2">
      <c r="A56" s="22" t="s">
        <v>81</v>
      </c>
      <c r="B56" s="21"/>
    </row>
    <row r="57" spans="1:5" x14ac:dyDescent="0.2">
      <c r="A57" s="22"/>
      <c r="B57" s="21"/>
    </row>
    <row r="58" spans="1:5" x14ac:dyDescent="0.2">
      <c r="A58" s="22" t="s">
        <v>151</v>
      </c>
      <c r="B58" s="21">
        <f>(+B12*3%)/12</f>
        <v>2109.395</v>
      </c>
      <c r="C58" s="11" t="s">
        <v>130</v>
      </c>
    </row>
    <row r="59" spans="1:5" x14ac:dyDescent="0.2">
      <c r="A59" s="22" t="s">
        <v>541</v>
      </c>
      <c r="B59" s="21">
        <f>(213.84+(+G12*1%))/12</f>
        <v>482.97666666666669</v>
      </c>
      <c r="C59" s="11" t="s">
        <v>130</v>
      </c>
    </row>
    <row r="60" spans="1:5" x14ac:dyDescent="0.2">
      <c r="A60" s="11" t="s">
        <v>82</v>
      </c>
      <c r="B60" s="33">
        <f>+B58+B59</f>
        <v>2592.3716666666669</v>
      </c>
      <c r="C60" s="11" t="s">
        <v>130</v>
      </c>
    </row>
    <row r="62" spans="1:5" x14ac:dyDescent="0.2">
      <c r="A62" s="25" t="s">
        <v>83</v>
      </c>
      <c r="B62" s="26">
        <f>B60+B54+B43+B36+B29+B22+B16</f>
        <v>35893.24504521527</v>
      </c>
      <c r="C62" s="29" t="s">
        <v>130</v>
      </c>
      <c r="E62" s="24"/>
    </row>
    <row r="64" spans="1:5" hidden="1" x14ac:dyDescent="0.2">
      <c r="A64" s="25" t="s">
        <v>420</v>
      </c>
      <c r="B64" s="171">
        <f>(B29+B36+B54)-B51</f>
        <v>4818.7019114552622</v>
      </c>
      <c r="C64" s="25" t="s">
        <v>130</v>
      </c>
    </row>
  </sheetData>
  <mergeCells count="4">
    <mergeCell ref="A8:B8"/>
    <mergeCell ref="A1:B1"/>
    <mergeCell ref="A2:B2"/>
    <mergeCell ref="A6:B6"/>
  </mergeCells>
  <phoneticPr fontId="0" type="noConversion"/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1"/>
  <sheetViews>
    <sheetView view="pageBreakPreview" topLeftCell="A5" zoomScaleSheetLayoutView="100" workbookViewId="0">
      <selection activeCell="B24" sqref="B24"/>
    </sheetView>
  </sheetViews>
  <sheetFormatPr defaultColWidth="12" defaultRowHeight="12.75" x14ac:dyDescent="0.2"/>
  <cols>
    <col min="1" max="1" width="60" style="11" customWidth="1"/>
    <col min="2" max="2" width="17.83203125" style="11" customWidth="1"/>
    <col min="3" max="5" width="12" style="11" customWidth="1"/>
    <col min="6" max="6" width="21.33203125" style="11" customWidth="1"/>
    <col min="7" max="7" width="15.83203125" style="11" customWidth="1"/>
    <col min="8" max="8" width="14.33203125" style="11" customWidth="1"/>
    <col min="9" max="16384" width="12" style="11"/>
  </cols>
  <sheetData>
    <row r="1" spans="1:8" ht="18.75" hidden="1" x14ac:dyDescent="0.3">
      <c r="A1" s="335" t="s">
        <v>215</v>
      </c>
      <c r="B1" s="335"/>
      <c r="C1" s="9"/>
      <c r="D1" s="9"/>
      <c r="E1" s="9"/>
      <c r="F1" s="10"/>
    </row>
    <row r="2" spans="1:8" ht="18" hidden="1" customHeight="1" x14ac:dyDescent="0.25">
      <c r="A2" s="335"/>
      <c r="B2" s="335"/>
      <c r="C2" s="9"/>
      <c r="D2" s="9"/>
      <c r="E2" s="9"/>
      <c r="F2" s="12"/>
    </row>
    <row r="3" spans="1:8" hidden="1" x14ac:dyDescent="0.2">
      <c r="A3" s="13"/>
      <c r="B3" s="13"/>
      <c r="C3" s="13"/>
      <c r="D3" s="13"/>
      <c r="E3" s="13"/>
      <c r="F3" s="13"/>
    </row>
    <row r="4" spans="1:8" hidden="1" x14ac:dyDescent="0.2">
      <c r="A4" s="14" t="s">
        <v>217</v>
      </c>
      <c r="B4" s="14" t="s">
        <v>211</v>
      </c>
      <c r="C4" s="13"/>
      <c r="E4" s="13"/>
      <c r="F4" s="13"/>
    </row>
    <row r="5" spans="1:8" x14ac:dyDescent="0.2">
      <c r="A5" s="12"/>
      <c r="B5" s="13"/>
      <c r="C5" s="13"/>
      <c r="D5" s="13"/>
      <c r="E5" s="13"/>
    </row>
    <row r="6" spans="1:8" x14ac:dyDescent="0.2">
      <c r="A6" s="336" t="s">
        <v>0</v>
      </c>
      <c r="B6" s="336"/>
      <c r="C6" s="15"/>
      <c r="D6" s="15"/>
      <c r="E6" s="15"/>
    </row>
    <row r="7" spans="1:8" x14ac:dyDescent="0.2">
      <c r="A7" s="16"/>
      <c r="B7" s="16"/>
      <c r="C7" s="16"/>
      <c r="D7" s="16"/>
    </row>
    <row r="8" spans="1:8" x14ac:dyDescent="0.2">
      <c r="A8" s="17" t="s">
        <v>430</v>
      </c>
      <c r="B8" s="18"/>
      <c r="C8" s="18"/>
      <c r="D8" s="18"/>
    </row>
    <row r="9" spans="1:8" x14ac:dyDescent="0.2">
      <c r="A9" s="16"/>
      <c r="B9" s="16"/>
      <c r="C9" s="16"/>
      <c r="D9" s="16"/>
    </row>
    <row r="10" spans="1:8" x14ac:dyDescent="0.2">
      <c r="A10" s="34" t="s">
        <v>15</v>
      </c>
    </row>
    <row r="12" spans="1:8" x14ac:dyDescent="0.2">
      <c r="A12" s="20" t="s">
        <v>431</v>
      </c>
      <c r="B12" s="21">
        <f>H14</f>
        <v>237381</v>
      </c>
      <c r="C12" s="11" t="s">
        <v>37</v>
      </c>
      <c r="F12" s="11" t="s">
        <v>441</v>
      </c>
      <c r="G12" s="11" t="s">
        <v>225</v>
      </c>
      <c r="H12" s="59">
        <v>237381</v>
      </c>
    </row>
    <row r="13" spans="1:8" x14ac:dyDescent="0.2">
      <c r="A13" s="20" t="s">
        <v>16</v>
      </c>
      <c r="B13" s="21">
        <v>60</v>
      </c>
      <c r="C13" s="11" t="s">
        <v>55</v>
      </c>
      <c r="G13" s="11" t="s">
        <v>433</v>
      </c>
      <c r="H13" s="59"/>
    </row>
    <row r="14" spans="1:8" x14ac:dyDescent="0.2">
      <c r="A14" s="20" t="s">
        <v>17</v>
      </c>
      <c r="B14" s="60">
        <v>0.2</v>
      </c>
      <c r="H14" s="59">
        <f>H12+(H13*2)</f>
        <v>237381</v>
      </c>
    </row>
    <row r="15" spans="1:8" x14ac:dyDescent="0.2">
      <c r="A15" s="20" t="s">
        <v>224</v>
      </c>
      <c r="B15" s="23">
        <f>H12*B14</f>
        <v>47476.200000000004</v>
      </c>
    </row>
    <row r="16" spans="1:8" x14ac:dyDescent="0.2">
      <c r="A16" s="11" t="s">
        <v>223</v>
      </c>
      <c r="B16" s="21">
        <f>((+B12)-(B15))/B13</f>
        <v>3165.08</v>
      </c>
      <c r="C16" s="11" t="s">
        <v>130</v>
      </c>
    </row>
    <row r="18" spans="1:6" x14ac:dyDescent="0.2">
      <c r="A18" s="19" t="s">
        <v>18</v>
      </c>
    </row>
    <row r="20" spans="1:6" x14ac:dyDescent="0.2">
      <c r="A20" s="61" t="s">
        <v>19</v>
      </c>
      <c r="B20" s="16">
        <f>+B12</f>
        <v>237381</v>
      </c>
      <c r="C20" s="16" t="s">
        <v>37</v>
      </c>
      <c r="D20" s="16"/>
    </row>
    <row r="21" spans="1:6" x14ac:dyDescent="0.2">
      <c r="A21" s="61" t="s">
        <v>20</v>
      </c>
      <c r="B21" s="62">
        <v>0.01</v>
      </c>
      <c r="C21" s="16"/>
      <c r="D21" s="16"/>
    </row>
    <row r="22" spans="1:6" x14ac:dyDescent="0.2">
      <c r="A22" s="61" t="s">
        <v>21</v>
      </c>
      <c r="B22" s="16">
        <f>+B20*B21</f>
        <v>2373.81</v>
      </c>
      <c r="C22" s="16" t="s">
        <v>130</v>
      </c>
      <c r="D22" s="16"/>
    </row>
    <row r="23" spans="1:6" x14ac:dyDescent="0.2">
      <c r="A23" s="16" t="s">
        <v>8</v>
      </c>
      <c r="B23" s="16" t="s">
        <v>8</v>
      </c>
      <c r="C23" s="16" t="s">
        <v>8</v>
      </c>
      <c r="D23" s="16"/>
    </row>
    <row r="24" spans="1:6" x14ac:dyDescent="0.2">
      <c r="A24" s="18" t="s">
        <v>22</v>
      </c>
      <c r="B24" s="16" t="s">
        <v>8</v>
      </c>
      <c r="C24" s="16" t="s">
        <v>8</v>
      </c>
      <c r="D24" s="16" t="s">
        <v>8</v>
      </c>
    </row>
    <row r="26" spans="1:6" x14ac:dyDescent="0.2">
      <c r="A26" s="20" t="s">
        <v>434</v>
      </c>
      <c r="B26" s="21">
        <f>DADOS!D21</f>
        <v>6.24</v>
      </c>
      <c r="C26" s="11" t="s">
        <v>205</v>
      </c>
    </row>
    <row r="27" spans="1:6" x14ac:dyDescent="0.2">
      <c r="A27" s="20" t="s">
        <v>435</v>
      </c>
      <c r="B27" s="21">
        <f>180*26</f>
        <v>4680</v>
      </c>
      <c r="C27" s="11" t="s">
        <v>45</v>
      </c>
      <c r="F27" s="11">
        <f>30*6</f>
        <v>180</v>
      </c>
    </row>
    <row r="28" spans="1:6" x14ac:dyDescent="0.2">
      <c r="A28" s="20" t="s">
        <v>24</v>
      </c>
      <c r="B28" s="21">
        <v>1.5</v>
      </c>
      <c r="C28" s="11" t="s">
        <v>206</v>
      </c>
    </row>
    <row r="29" spans="1:6" x14ac:dyDescent="0.2">
      <c r="A29" s="22" t="s">
        <v>25</v>
      </c>
      <c r="B29" s="21">
        <f>+(B27/B28)*B26</f>
        <v>19468.8</v>
      </c>
      <c r="C29" s="11" t="s">
        <v>130</v>
      </c>
    </row>
    <row r="30" spans="1:6" x14ac:dyDescent="0.2">
      <c r="A30" s="20"/>
      <c r="B30" s="21"/>
    </row>
    <row r="31" spans="1:6" x14ac:dyDescent="0.2">
      <c r="A31" s="18" t="s">
        <v>26</v>
      </c>
      <c r="B31" s="16" t="s">
        <v>8</v>
      </c>
    </row>
    <row r="33" spans="1:3" x14ac:dyDescent="0.2">
      <c r="A33" s="20" t="s">
        <v>436</v>
      </c>
      <c r="B33" s="21">
        <f>1350*(6)</f>
        <v>8100</v>
      </c>
      <c r="C33" s="11" t="s">
        <v>37</v>
      </c>
    </row>
    <row r="34" spans="1:3" x14ac:dyDescent="0.2">
      <c r="A34" s="20" t="s">
        <v>27</v>
      </c>
      <c r="B34" s="21">
        <v>45000</v>
      </c>
      <c r="C34" s="11" t="s">
        <v>45</v>
      </c>
    </row>
    <row r="35" spans="1:3" x14ac:dyDescent="0.2">
      <c r="A35" s="20" t="s">
        <v>437</v>
      </c>
      <c r="B35" s="21">
        <f>B27</f>
        <v>4680</v>
      </c>
      <c r="C35" s="11" t="s">
        <v>207</v>
      </c>
    </row>
    <row r="36" spans="1:3" x14ac:dyDescent="0.2">
      <c r="A36" s="20" t="s">
        <v>438</v>
      </c>
      <c r="B36" s="21">
        <f>+(B33*B35)/B34</f>
        <v>842.4</v>
      </c>
      <c r="C36" s="11" t="s">
        <v>130</v>
      </c>
    </row>
    <row r="37" spans="1:3" x14ac:dyDescent="0.2">
      <c r="A37" s="20"/>
      <c r="B37" s="21"/>
    </row>
    <row r="38" spans="1:3" x14ac:dyDescent="0.2">
      <c r="A38" s="19" t="s">
        <v>29</v>
      </c>
    </row>
    <row r="39" spans="1:3" x14ac:dyDescent="0.2">
      <c r="A39" s="20" t="s">
        <v>7</v>
      </c>
    </row>
    <row r="40" spans="1:3" x14ac:dyDescent="0.2">
      <c r="A40" s="20" t="s">
        <v>30</v>
      </c>
      <c r="B40" s="60">
        <v>0.65</v>
      </c>
    </row>
    <row r="41" spans="1:3" x14ac:dyDescent="0.2">
      <c r="A41" s="20" t="s">
        <v>31</v>
      </c>
      <c r="B41" s="24">
        <f>B12</f>
        <v>237381</v>
      </c>
      <c r="C41" s="11" t="s">
        <v>37</v>
      </c>
    </row>
    <row r="42" spans="1:3" x14ac:dyDescent="0.2">
      <c r="A42" s="20" t="s">
        <v>32</v>
      </c>
      <c r="B42" s="21">
        <f>B13</f>
        <v>60</v>
      </c>
      <c r="C42" s="11" t="s">
        <v>55</v>
      </c>
    </row>
    <row r="43" spans="1:3" x14ac:dyDescent="0.2">
      <c r="A43" s="20" t="s">
        <v>33</v>
      </c>
      <c r="B43" s="21">
        <f>+(B40*B41)/B42</f>
        <v>2571.6275000000001</v>
      </c>
      <c r="C43" s="11" t="s">
        <v>130</v>
      </c>
    </row>
    <row r="45" spans="1:3" x14ac:dyDescent="0.2">
      <c r="A45" s="63" t="s">
        <v>74</v>
      </c>
      <c r="B45" s="21"/>
    </row>
    <row r="46" spans="1:3" x14ac:dyDescent="0.2">
      <c r="A46" s="20"/>
      <c r="B46" s="21"/>
    </row>
    <row r="47" spans="1:3" x14ac:dyDescent="0.2">
      <c r="A47" s="22" t="s">
        <v>75</v>
      </c>
      <c r="B47" s="21">
        <f>'BASCULANTE 6'!B47</f>
        <v>31.696004647641601</v>
      </c>
      <c r="C47" s="11" t="s">
        <v>130</v>
      </c>
    </row>
    <row r="48" spans="1:3" x14ac:dyDescent="0.2">
      <c r="A48" s="22" t="s">
        <v>76</v>
      </c>
      <c r="B48" s="21" t="e">
        <f>#REF!</f>
        <v>#REF!</v>
      </c>
      <c r="C48" s="11" t="s">
        <v>130</v>
      </c>
    </row>
    <row r="49" spans="1:3" x14ac:dyDescent="0.2">
      <c r="A49" s="22" t="s">
        <v>77</v>
      </c>
      <c r="B49" s="21" t="e">
        <f>#REF!/#REF!</f>
        <v>#REF!</v>
      </c>
    </row>
    <row r="50" spans="1:3" x14ac:dyDescent="0.2">
      <c r="A50" s="22" t="s">
        <v>78</v>
      </c>
      <c r="B50" s="21">
        <f>5.3*2.5</f>
        <v>13.25</v>
      </c>
      <c r="C50" s="11" t="s">
        <v>130</v>
      </c>
    </row>
    <row r="51" spans="1:3" x14ac:dyDescent="0.2">
      <c r="A51" s="22" t="s">
        <v>442</v>
      </c>
      <c r="B51" s="21">
        <f>26*20</f>
        <v>520</v>
      </c>
      <c r="C51" s="11" t="s">
        <v>130</v>
      </c>
    </row>
    <row r="52" spans="1:3" x14ac:dyDescent="0.2">
      <c r="A52" s="22" t="s">
        <v>79</v>
      </c>
      <c r="B52" s="21" t="e">
        <f>(+B47+B48+B49+B50)*15%</f>
        <v>#REF!</v>
      </c>
      <c r="C52" s="11" t="s">
        <v>130</v>
      </c>
    </row>
    <row r="53" spans="1:3" x14ac:dyDescent="0.2">
      <c r="A53" s="22" t="s">
        <v>80</v>
      </c>
      <c r="B53" s="64" t="e">
        <f>+B47+B48+B49+B50+B51+B52</f>
        <v>#REF!</v>
      </c>
      <c r="C53" s="11" t="s">
        <v>130</v>
      </c>
    </row>
    <row r="54" spans="1:3" x14ac:dyDescent="0.2">
      <c r="A54" s="22"/>
      <c r="B54" s="21"/>
    </row>
    <row r="55" spans="1:3" x14ac:dyDescent="0.2">
      <c r="A55" s="63" t="s">
        <v>81</v>
      </c>
      <c r="B55" s="21"/>
    </row>
    <row r="56" spans="1:3" x14ac:dyDescent="0.2">
      <c r="A56" s="22"/>
      <c r="B56" s="21"/>
    </row>
    <row r="57" spans="1:3" x14ac:dyDescent="0.2">
      <c r="A57" s="22" t="s">
        <v>151</v>
      </c>
      <c r="B57" s="21">
        <f>(+B20*3%)/12</f>
        <v>593.45249999999999</v>
      </c>
      <c r="C57" s="11" t="s">
        <v>130</v>
      </c>
    </row>
    <row r="58" spans="1:3" x14ac:dyDescent="0.2">
      <c r="A58" s="22" t="s">
        <v>150</v>
      </c>
      <c r="B58" s="21">
        <f>(+B20*1.5%)/12</f>
        <v>296.72624999999999</v>
      </c>
      <c r="C58" s="11" t="s">
        <v>130</v>
      </c>
    </row>
    <row r="59" spans="1:3" x14ac:dyDescent="0.2">
      <c r="A59" s="11" t="s">
        <v>82</v>
      </c>
      <c r="B59" s="33">
        <f>+B57+B58</f>
        <v>890.17875000000004</v>
      </c>
      <c r="C59" s="11" t="s">
        <v>130</v>
      </c>
    </row>
    <row r="61" spans="1:3" x14ac:dyDescent="0.2">
      <c r="A61" s="25" t="s">
        <v>83</v>
      </c>
      <c r="B61" s="26" t="e">
        <f>B59+B53+B43+B36+B29+B22+B16</f>
        <v>#REF!</v>
      </c>
      <c r="C61" s="29" t="s">
        <v>130</v>
      </c>
    </row>
  </sheetData>
  <mergeCells count="3">
    <mergeCell ref="A1:B1"/>
    <mergeCell ref="A2:B2"/>
    <mergeCell ref="A6:B6"/>
  </mergeCells>
  <pageMargins left="0.511811024" right="0.511811024" top="0.78740157499999996" bottom="0.78740157499999996" header="0.31496062000000002" footer="0.31496062000000002"/>
  <pageSetup paperSize="9" scale="9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1"/>
  <sheetViews>
    <sheetView view="pageBreakPreview" topLeftCell="A29" zoomScaleSheetLayoutView="100" workbookViewId="0">
      <selection activeCell="B24" sqref="B24"/>
    </sheetView>
  </sheetViews>
  <sheetFormatPr defaultColWidth="12" defaultRowHeight="12.75" x14ac:dyDescent="0.2"/>
  <cols>
    <col min="1" max="1" width="60" style="11" customWidth="1"/>
    <col min="2" max="2" width="17.83203125" style="11" customWidth="1"/>
    <col min="3" max="5" width="12" style="11" customWidth="1"/>
    <col min="6" max="6" width="15" style="11" customWidth="1"/>
    <col min="7" max="7" width="15.83203125" style="11" customWidth="1"/>
    <col min="8" max="8" width="14.33203125" style="11" customWidth="1"/>
    <col min="9" max="16384" width="12" style="11"/>
  </cols>
  <sheetData>
    <row r="1" spans="1:8" ht="18.75" hidden="1" x14ac:dyDescent="0.3">
      <c r="A1" s="335" t="s">
        <v>215</v>
      </c>
      <c r="B1" s="335"/>
      <c r="C1" s="9"/>
      <c r="D1" s="9"/>
      <c r="E1" s="9"/>
      <c r="F1" s="10"/>
    </row>
    <row r="2" spans="1:8" ht="18" hidden="1" customHeight="1" x14ac:dyDescent="0.25">
      <c r="A2" s="335"/>
      <c r="B2" s="335"/>
      <c r="C2" s="9"/>
      <c r="D2" s="9"/>
      <c r="E2" s="9"/>
      <c r="F2" s="12"/>
    </row>
    <row r="3" spans="1:8" hidden="1" x14ac:dyDescent="0.2">
      <c r="A3" s="13"/>
      <c r="B3" s="13"/>
      <c r="C3" s="13"/>
      <c r="D3" s="13"/>
      <c r="E3" s="13"/>
      <c r="F3" s="13"/>
    </row>
    <row r="4" spans="1:8" hidden="1" x14ac:dyDescent="0.2">
      <c r="A4" s="14" t="s">
        <v>217</v>
      </c>
      <c r="B4" s="14" t="s">
        <v>211</v>
      </c>
      <c r="C4" s="13"/>
      <c r="E4" s="13"/>
      <c r="F4" s="13"/>
    </row>
    <row r="5" spans="1:8" x14ac:dyDescent="0.2">
      <c r="A5" s="12"/>
      <c r="B5" s="13"/>
      <c r="C5" s="13"/>
      <c r="D5" s="13"/>
      <c r="E5" s="13"/>
    </row>
    <row r="6" spans="1:8" x14ac:dyDescent="0.2">
      <c r="A6" s="336" t="s">
        <v>0</v>
      </c>
      <c r="B6" s="336"/>
      <c r="C6" s="15"/>
      <c r="D6" s="15"/>
      <c r="E6" s="15"/>
    </row>
    <row r="7" spans="1:8" x14ac:dyDescent="0.2">
      <c r="A7" s="16"/>
      <c r="B7" s="16"/>
      <c r="C7" s="16"/>
      <c r="D7" s="16"/>
    </row>
    <row r="8" spans="1:8" x14ac:dyDescent="0.2">
      <c r="A8" s="17" t="s">
        <v>439</v>
      </c>
      <c r="B8" s="18"/>
      <c r="C8" s="18"/>
      <c r="D8" s="18"/>
    </row>
    <row r="9" spans="1:8" x14ac:dyDescent="0.2">
      <c r="A9" s="16"/>
      <c r="B9" s="16"/>
      <c r="C9" s="16"/>
      <c r="D9" s="16"/>
    </row>
    <row r="10" spans="1:8" x14ac:dyDescent="0.2">
      <c r="A10" s="34" t="s">
        <v>15</v>
      </c>
    </row>
    <row r="12" spans="1:8" x14ac:dyDescent="0.2">
      <c r="A12" s="20" t="s">
        <v>431</v>
      </c>
      <c r="B12" s="21">
        <f>H14</f>
        <v>121000.00000000001</v>
      </c>
      <c r="C12" s="11" t="s">
        <v>37</v>
      </c>
      <c r="F12" s="11" t="s">
        <v>432</v>
      </c>
      <c r="G12" s="11" t="s">
        <v>225</v>
      </c>
      <c r="H12" s="59"/>
    </row>
    <row r="13" spans="1:8" x14ac:dyDescent="0.2">
      <c r="A13" s="20" t="s">
        <v>16</v>
      </c>
      <c r="B13" s="21">
        <v>60</v>
      </c>
      <c r="C13" s="11" t="s">
        <v>55</v>
      </c>
      <c r="G13" s="11" t="s">
        <v>433</v>
      </c>
      <c r="H13" s="59">
        <f>110000*1.1</f>
        <v>121000.00000000001</v>
      </c>
    </row>
    <row r="14" spans="1:8" x14ac:dyDescent="0.2">
      <c r="A14" s="20" t="s">
        <v>17</v>
      </c>
      <c r="B14" s="60">
        <v>0.2</v>
      </c>
      <c r="H14" s="59">
        <f>H12+(H13)</f>
        <v>121000.00000000001</v>
      </c>
    </row>
    <row r="15" spans="1:8" x14ac:dyDescent="0.2">
      <c r="A15" s="20" t="s">
        <v>224</v>
      </c>
      <c r="B15" s="23">
        <f>H12*B14</f>
        <v>0</v>
      </c>
    </row>
    <row r="16" spans="1:8" x14ac:dyDescent="0.2">
      <c r="A16" s="11" t="s">
        <v>223</v>
      </c>
      <c r="B16" s="21">
        <f>((+B12)-(B15))/B13</f>
        <v>2016.666666666667</v>
      </c>
      <c r="C16" s="11" t="s">
        <v>130</v>
      </c>
    </row>
    <row r="18" spans="1:6" x14ac:dyDescent="0.2">
      <c r="A18" s="19" t="s">
        <v>18</v>
      </c>
    </row>
    <row r="20" spans="1:6" x14ac:dyDescent="0.2">
      <c r="A20" s="61" t="s">
        <v>19</v>
      </c>
      <c r="B20" s="16">
        <f>+B12</f>
        <v>121000.00000000001</v>
      </c>
      <c r="C20" s="16" t="s">
        <v>37</v>
      </c>
      <c r="D20" s="16"/>
    </row>
    <row r="21" spans="1:6" x14ac:dyDescent="0.2">
      <c r="A21" s="61" t="s">
        <v>20</v>
      </c>
      <c r="B21" s="62">
        <v>0.01</v>
      </c>
      <c r="C21" s="16"/>
      <c r="D21" s="16"/>
    </row>
    <row r="22" spans="1:6" x14ac:dyDescent="0.2">
      <c r="A22" s="61" t="s">
        <v>21</v>
      </c>
      <c r="B22" s="16">
        <f>+B20*B21</f>
        <v>1210.0000000000002</v>
      </c>
      <c r="C22" s="16" t="s">
        <v>130</v>
      </c>
      <c r="D22" s="16"/>
    </row>
    <row r="23" spans="1:6" x14ac:dyDescent="0.2">
      <c r="A23" s="16" t="s">
        <v>8</v>
      </c>
      <c r="B23" s="16" t="s">
        <v>8</v>
      </c>
      <c r="C23" s="16" t="s">
        <v>8</v>
      </c>
      <c r="D23" s="16"/>
    </row>
    <row r="24" spans="1:6" x14ac:dyDescent="0.2">
      <c r="A24" s="18" t="s">
        <v>22</v>
      </c>
      <c r="B24" s="16" t="s">
        <v>8</v>
      </c>
      <c r="C24" s="16" t="s">
        <v>8</v>
      </c>
      <c r="D24" s="16" t="s">
        <v>8</v>
      </c>
    </row>
    <row r="26" spans="1:6" x14ac:dyDescent="0.2">
      <c r="A26" s="20" t="s">
        <v>434</v>
      </c>
      <c r="B26" s="21"/>
      <c r="C26" s="11" t="s">
        <v>205</v>
      </c>
    </row>
    <row r="27" spans="1:6" x14ac:dyDescent="0.2">
      <c r="A27" s="20" t="s">
        <v>443</v>
      </c>
      <c r="B27" s="21">
        <f>(180*26)/2</f>
        <v>2340</v>
      </c>
      <c r="C27" s="11" t="s">
        <v>45</v>
      </c>
      <c r="F27" s="11">
        <f>30*6</f>
        <v>180</v>
      </c>
    </row>
    <row r="28" spans="1:6" x14ac:dyDescent="0.2">
      <c r="A28" s="20" t="s">
        <v>24</v>
      </c>
      <c r="B28" s="21">
        <v>1.5</v>
      </c>
      <c r="C28" s="11" t="s">
        <v>206</v>
      </c>
    </row>
    <row r="29" spans="1:6" x14ac:dyDescent="0.2">
      <c r="A29" s="22" t="s">
        <v>25</v>
      </c>
      <c r="B29" s="21">
        <f>+(B27/B28)*B26</f>
        <v>0</v>
      </c>
      <c r="C29" s="11" t="s">
        <v>130</v>
      </c>
    </row>
    <row r="30" spans="1:6" x14ac:dyDescent="0.2">
      <c r="A30" s="20"/>
      <c r="B30" s="21"/>
    </row>
    <row r="31" spans="1:6" x14ac:dyDescent="0.2">
      <c r="A31" s="18" t="s">
        <v>26</v>
      </c>
      <c r="B31" s="16" t="s">
        <v>8</v>
      </c>
    </row>
    <row r="33" spans="1:3" x14ac:dyDescent="0.2">
      <c r="A33" s="20" t="s">
        <v>440</v>
      </c>
      <c r="B33" s="21">
        <f>1350*(12)</f>
        <v>16200</v>
      </c>
      <c r="C33" s="11" t="s">
        <v>37</v>
      </c>
    </row>
    <row r="34" spans="1:3" x14ac:dyDescent="0.2">
      <c r="A34" s="20" t="s">
        <v>27</v>
      </c>
      <c r="B34" s="21">
        <v>45000</v>
      </c>
      <c r="C34" s="11" t="s">
        <v>45</v>
      </c>
    </row>
    <row r="35" spans="1:3" x14ac:dyDescent="0.2">
      <c r="A35" s="20" t="s">
        <v>444</v>
      </c>
      <c r="B35" s="21">
        <f>B27</f>
        <v>2340</v>
      </c>
      <c r="C35" s="11" t="s">
        <v>207</v>
      </c>
    </row>
    <row r="36" spans="1:3" x14ac:dyDescent="0.2">
      <c r="A36" s="20" t="s">
        <v>438</v>
      </c>
      <c r="B36" s="21">
        <f>+(B33*B35)/B34</f>
        <v>842.4</v>
      </c>
      <c r="C36" s="11" t="s">
        <v>130</v>
      </c>
    </row>
    <row r="37" spans="1:3" x14ac:dyDescent="0.2">
      <c r="A37" s="20"/>
      <c r="B37" s="21"/>
    </row>
    <row r="38" spans="1:3" x14ac:dyDescent="0.2">
      <c r="A38" s="19" t="s">
        <v>29</v>
      </c>
    </row>
    <row r="39" spans="1:3" x14ac:dyDescent="0.2">
      <c r="A39" s="20" t="s">
        <v>7</v>
      </c>
    </row>
    <row r="40" spans="1:3" x14ac:dyDescent="0.2">
      <c r="A40" s="20" t="s">
        <v>30</v>
      </c>
      <c r="B40" s="60">
        <v>0.65</v>
      </c>
    </row>
    <row r="41" spans="1:3" x14ac:dyDescent="0.2">
      <c r="A41" s="20" t="s">
        <v>31</v>
      </c>
      <c r="B41" s="24">
        <f>B12</f>
        <v>121000.00000000001</v>
      </c>
      <c r="C41" s="11" t="s">
        <v>37</v>
      </c>
    </row>
    <row r="42" spans="1:3" x14ac:dyDescent="0.2">
      <c r="A42" s="20" t="s">
        <v>32</v>
      </c>
      <c r="B42" s="21">
        <f>B13</f>
        <v>60</v>
      </c>
      <c r="C42" s="11" t="s">
        <v>55</v>
      </c>
    </row>
    <row r="43" spans="1:3" x14ac:dyDescent="0.2">
      <c r="A43" s="20" t="s">
        <v>33</v>
      </c>
      <c r="B43" s="21">
        <f>+(B40*B41)/B42</f>
        <v>1310.8333333333335</v>
      </c>
      <c r="C43" s="11" t="s">
        <v>130</v>
      </c>
    </row>
    <row r="45" spans="1:3" x14ac:dyDescent="0.2">
      <c r="A45" s="63" t="s">
        <v>74</v>
      </c>
      <c r="B45" s="21"/>
    </row>
    <row r="46" spans="1:3" x14ac:dyDescent="0.2">
      <c r="A46" s="20"/>
      <c r="B46" s="21"/>
    </row>
    <row r="47" spans="1:3" x14ac:dyDescent="0.2">
      <c r="A47" s="22" t="s">
        <v>75</v>
      </c>
      <c r="B47" s="21"/>
      <c r="C47" s="11" t="s">
        <v>130</v>
      </c>
    </row>
    <row r="48" spans="1:3" x14ac:dyDescent="0.2">
      <c r="A48" s="22" t="s">
        <v>76</v>
      </c>
      <c r="B48" s="21"/>
      <c r="C48" s="11" t="s">
        <v>130</v>
      </c>
    </row>
    <row r="49" spans="1:3" x14ac:dyDescent="0.2">
      <c r="A49" s="22" t="s">
        <v>77</v>
      </c>
      <c r="B49" s="21">
        <v>0</v>
      </c>
    </row>
    <row r="50" spans="1:3" x14ac:dyDescent="0.2">
      <c r="A50" s="22" t="s">
        <v>78</v>
      </c>
      <c r="B50" s="21">
        <f>5.3*2.5</f>
        <v>13.25</v>
      </c>
      <c r="C50" s="11" t="s">
        <v>130</v>
      </c>
    </row>
    <row r="51" spans="1:3" x14ac:dyDescent="0.2">
      <c r="A51" s="22" t="s">
        <v>442</v>
      </c>
      <c r="B51" s="21">
        <f>26*20</f>
        <v>520</v>
      </c>
      <c r="C51" s="11" t="s">
        <v>130</v>
      </c>
    </row>
    <row r="52" spans="1:3" x14ac:dyDescent="0.2">
      <c r="A52" s="22" t="s">
        <v>79</v>
      </c>
      <c r="B52" s="21"/>
      <c r="C52" s="11" t="s">
        <v>130</v>
      </c>
    </row>
    <row r="53" spans="1:3" x14ac:dyDescent="0.2">
      <c r="A53" s="22" t="s">
        <v>80</v>
      </c>
      <c r="B53" s="64">
        <f>+B47+B48+B49+B50+B51+B52</f>
        <v>533.25</v>
      </c>
      <c r="C53" s="11" t="s">
        <v>130</v>
      </c>
    </row>
    <row r="54" spans="1:3" x14ac:dyDescent="0.2">
      <c r="A54" s="22"/>
      <c r="B54" s="21"/>
    </row>
    <row r="55" spans="1:3" x14ac:dyDescent="0.2">
      <c r="A55" s="63" t="s">
        <v>81</v>
      </c>
      <c r="B55" s="21"/>
    </row>
    <row r="56" spans="1:3" x14ac:dyDescent="0.2">
      <c r="A56" s="22"/>
      <c r="B56" s="21"/>
    </row>
    <row r="57" spans="1:3" x14ac:dyDescent="0.2">
      <c r="A57" s="22" t="s">
        <v>151</v>
      </c>
      <c r="B57" s="21"/>
      <c r="C57" s="11" t="s">
        <v>130</v>
      </c>
    </row>
    <row r="58" spans="1:3" x14ac:dyDescent="0.2">
      <c r="A58" s="22" t="s">
        <v>150</v>
      </c>
      <c r="B58" s="21"/>
      <c r="C58" s="11" t="s">
        <v>130</v>
      </c>
    </row>
    <row r="59" spans="1:3" x14ac:dyDescent="0.2">
      <c r="A59" s="11" t="s">
        <v>82</v>
      </c>
      <c r="B59" s="33">
        <f>+B57+B58</f>
        <v>0</v>
      </c>
      <c r="C59" s="11" t="s">
        <v>130</v>
      </c>
    </row>
    <row r="61" spans="1:3" x14ac:dyDescent="0.2">
      <c r="A61" s="25" t="s">
        <v>83</v>
      </c>
      <c r="B61" s="26">
        <f>B59+B53+B43+B36+B29+B22+B16</f>
        <v>5913.1500000000005</v>
      </c>
      <c r="C61" s="29" t="s">
        <v>130</v>
      </c>
    </row>
  </sheetData>
  <mergeCells count="3">
    <mergeCell ref="A1:B1"/>
    <mergeCell ref="A2:B2"/>
    <mergeCell ref="A6:B6"/>
  </mergeCells>
  <pageMargins left="0.511811024" right="0.511811024" top="0.78740157499999996" bottom="0.78740157499999996" header="0.31496062000000002" footer="0.31496062000000002"/>
  <pageSetup paperSize="9" scale="9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E9BF6-60C3-444F-B8F8-892CB48D9A75}">
  <dimension ref="A1:O64"/>
  <sheetViews>
    <sheetView view="pageBreakPreview" topLeftCell="A5" zoomScaleNormal="100" zoomScaleSheetLayoutView="100" workbookViewId="0">
      <selection activeCell="G14" sqref="G14"/>
    </sheetView>
  </sheetViews>
  <sheetFormatPr defaultColWidth="12" defaultRowHeight="12.75" x14ac:dyDescent="0.2"/>
  <cols>
    <col min="1" max="1" width="60.83203125" style="11" customWidth="1"/>
    <col min="2" max="2" width="18.83203125" style="11" customWidth="1"/>
    <col min="3" max="3" width="10.1640625" style="11" customWidth="1"/>
    <col min="4" max="4" width="12" style="11"/>
    <col min="5" max="5" width="16.33203125" style="11" customWidth="1"/>
    <col min="6" max="6" width="15.1640625" style="11" customWidth="1"/>
    <col min="7" max="7" width="14" style="11" customWidth="1"/>
    <col min="8" max="16384" width="12" style="11"/>
  </cols>
  <sheetData>
    <row r="1" spans="1:15" ht="18.75" hidden="1" x14ac:dyDescent="0.3">
      <c r="A1" s="335" t="s">
        <v>215</v>
      </c>
      <c r="B1" s="335"/>
      <c r="C1" s="9"/>
      <c r="D1" s="9"/>
      <c r="E1" s="9"/>
      <c r="F1" s="10"/>
    </row>
    <row r="2" spans="1:15" ht="18" hidden="1" customHeight="1" x14ac:dyDescent="0.25">
      <c r="A2" s="335"/>
      <c r="B2" s="335"/>
      <c r="C2" s="9"/>
      <c r="D2" s="9"/>
      <c r="E2" s="9"/>
      <c r="F2" s="12"/>
    </row>
    <row r="3" spans="1:15" hidden="1" x14ac:dyDescent="0.2">
      <c r="A3" s="13"/>
      <c r="B3" s="13"/>
      <c r="C3" s="13"/>
      <c r="D3" s="13"/>
      <c r="E3" s="13"/>
      <c r="F3" s="13"/>
    </row>
    <row r="4" spans="1:15" hidden="1" x14ac:dyDescent="0.2">
      <c r="A4" s="14" t="s">
        <v>217</v>
      </c>
      <c r="B4" s="14" t="s">
        <v>211</v>
      </c>
      <c r="C4" s="13"/>
      <c r="E4" s="13"/>
      <c r="F4" s="13"/>
    </row>
    <row r="5" spans="1:15" x14ac:dyDescent="0.2">
      <c r="A5" s="12"/>
      <c r="B5" s="13"/>
      <c r="C5" s="13"/>
      <c r="D5" s="13"/>
      <c r="E5" s="13"/>
    </row>
    <row r="6" spans="1:15" x14ac:dyDescent="0.2">
      <c r="A6" s="336" t="s">
        <v>0</v>
      </c>
      <c r="B6" s="336"/>
      <c r="C6" s="15"/>
      <c r="D6" s="15"/>
      <c r="E6" s="15"/>
    </row>
    <row r="7" spans="1:15" x14ac:dyDescent="0.2">
      <c r="A7" s="16"/>
      <c r="B7" s="16"/>
    </row>
    <row r="8" spans="1:15" ht="15" x14ac:dyDescent="0.2">
      <c r="A8" s="337" t="s">
        <v>327</v>
      </c>
      <c r="B8" s="337"/>
    </row>
    <row r="10" spans="1:15" x14ac:dyDescent="0.2">
      <c r="A10" s="34" t="s">
        <v>15</v>
      </c>
    </row>
    <row r="12" spans="1:15" x14ac:dyDescent="0.2">
      <c r="A12" s="20" t="s">
        <v>152</v>
      </c>
      <c r="B12" s="21">
        <f>G14</f>
        <v>843758</v>
      </c>
      <c r="C12" s="11" t="s">
        <v>37</v>
      </c>
      <c r="E12" s="1" t="s">
        <v>715</v>
      </c>
      <c r="F12" s="1" t="s">
        <v>225</v>
      </c>
      <c r="G12" s="65">
        <v>558188</v>
      </c>
      <c r="I12" t="s">
        <v>522</v>
      </c>
      <c r="J12" t="s">
        <v>523</v>
      </c>
      <c r="K12" s="185" t="s">
        <v>524</v>
      </c>
      <c r="L12" t="s">
        <v>525</v>
      </c>
      <c r="M12" t="s">
        <v>526</v>
      </c>
    </row>
    <row r="13" spans="1:15" x14ac:dyDescent="0.2">
      <c r="A13" s="20" t="s">
        <v>16</v>
      </c>
      <c r="B13" s="21">
        <v>60</v>
      </c>
      <c r="C13" s="11" t="s">
        <v>55</v>
      </c>
      <c r="F13" s="11" t="s">
        <v>227</v>
      </c>
      <c r="G13" s="59">
        <f>'COMPACTADOR 15 m3'!G13</f>
        <v>285570</v>
      </c>
      <c r="I13">
        <v>1</v>
      </c>
      <c r="J13" s="185">
        <f>$G$14</f>
        <v>843758</v>
      </c>
      <c r="K13" s="185">
        <f>SLN($G$14,$B$15,$G$15)</f>
        <v>135001.28</v>
      </c>
      <c r="L13" s="185">
        <f>K13</f>
        <v>135001.28</v>
      </c>
      <c r="M13" s="185">
        <f>J13-L13</f>
        <v>708756.72</v>
      </c>
      <c r="O13" s="59">
        <f>(G19/G14)*100</f>
        <v>0</v>
      </c>
    </row>
    <row r="14" spans="1:15" x14ac:dyDescent="0.2">
      <c r="A14" s="20" t="s">
        <v>17</v>
      </c>
      <c r="B14" s="60">
        <v>0.2</v>
      </c>
      <c r="G14" s="59">
        <f>G12+G13</f>
        <v>843758</v>
      </c>
      <c r="I14">
        <v>2</v>
      </c>
      <c r="J14" s="185">
        <f>$G$14</f>
        <v>843758</v>
      </c>
      <c r="K14" s="185">
        <f>SLN($G$14,$B$15,$G$15)</f>
        <v>135001.28</v>
      </c>
      <c r="L14" s="185">
        <f>K14+L13</f>
        <v>270002.56</v>
      </c>
      <c r="M14" s="185">
        <f>J14-L14</f>
        <v>573755.43999999994</v>
      </c>
      <c r="O14" s="59">
        <f>($G$19/M13)*100</f>
        <v>0</v>
      </c>
    </row>
    <row r="15" spans="1:15" x14ac:dyDescent="0.2">
      <c r="A15" s="20" t="s">
        <v>224</v>
      </c>
      <c r="B15" s="23">
        <f>G14*B14</f>
        <v>168751.6</v>
      </c>
      <c r="G15" s="11">
        <v>5</v>
      </c>
      <c r="I15">
        <v>3</v>
      </c>
      <c r="J15" s="185">
        <f>$G$14</f>
        <v>843758</v>
      </c>
      <c r="K15" s="185">
        <f>SLN($G$14,$B$15,$G$15)</f>
        <v>135001.28</v>
      </c>
      <c r="L15" s="185">
        <f>K15+L14</f>
        <v>405003.83999999997</v>
      </c>
      <c r="M15" s="185">
        <f>J15-L15</f>
        <v>438754.16000000003</v>
      </c>
      <c r="O15" s="59">
        <f>($G$19/M14)*100</f>
        <v>0</v>
      </c>
    </row>
    <row r="16" spans="1:15" x14ac:dyDescent="0.2">
      <c r="A16" s="11" t="s">
        <v>223</v>
      </c>
      <c r="B16" s="21"/>
      <c r="C16" s="11" t="s">
        <v>130</v>
      </c>
      <c r="G16" s="59"/>
      <c r="I16">
        <v>4</v>
      </c>
      <c r="J16" s="185">
        <f>$G$14</f>
        <v>843758</v>
      </c>
      <c r="K16" s="185">
        <f>SLN($G$14,$B$15,$G$15)</f>
        <v>135001.28</v>
      </c>
      <c r="L16" s="185">
        <f>K16+L15</f>
        <v>540005.12</v>
      </c>
      <c r="M16" s="185">
        <f>J16-L16</f>
        <v>303752.88</v>
      </c>
      <c r="O16" s="59">
        <f>($G$19/M15)*100</f>
        <v>0</v>
      </c>
    </row>
    <row r="17" spans="1:15" x14ac:dyDescent="0.2">
      <c r="G17" s="59"/>
      <c r="I17">
        <v>5</v>
      </c>
      <c r="J17" s="185">
        <f>$G$14</f>
        <v>843758</v>
      </c>
      <c r="K17" s="185">
        <f>SLN($G$14,$B$15,$G$15)</f>
        <v>135001.28</v>
      </c>
      <c r="L17" s="185">
        <f>K17+L16</f>
        <v>675006.4</v>
      </c>
      <c r="M17" s="185">
        <f>J17-L17</f>
        <v>168751.59999999998</v>
      </c>
      <c r="O17" s="59">
        <f>($G$19/M16)*100</f>
        <v>0</v>
      </c>
    </row>
    <row r="18" spans="1:15" x14ac:dyDescent="0.2">
      <c r="A18" s="19" t="s">
        <v>18</v>
      </c>
      <c r="G18" s="59"/>
      <c r="O18" s="59">
        <f>($G$19/M17)*100</f>
        <v>0</v>
      </c>
    </row>
    <row r="19" spans="1:15" x14ac:dyDescent="0.2">
      <c r="G19" s="59"/>
    </row>
    <row r="20" spans="1:15" x14ac:dyDescent="0.2">
      <c r="A20" s="61" t="s">
        <v>19</v>
      </c>
      <c r="B20" s="16">
        <f>+B12</f>
        <v>843758</v>
      </c>
      <c r="C20" s="11" t="s">
        <v>37</v>
      </c>
      <c r="G20" s="59"/>
    </row>
    <row r="21" spans="1:15" x14ac:dyDescent="0.2">
      <c r="A21" s="61" t="s">
        <v>539</v>
      </c>
      <c r="B21" s="187">
        <f>'BASCULANTE 6'!B21</f>
        <v>0.14249999999999999</v>
      </c>
    </row>
    <row r="22" spans="1:15" x14ac:dyDescent="0.2">
      <c r="A22" s="61" t="s">
        <v>21</v>
      </c>
      <c r="B22" s="16"/>
      <c r="C22" s="11" t="s">
        <v>130</v>
      </c>
    </row>
    <row r="23" spans="1:15" x14ac:dyDescent="0.2">
      <c r="A23" s="16" t="s">
        <v>8</v>
      </c>
      <c r="B23" s="16" t="s">
        <v>8</v>
      </c>
      <c r="G23" s="191"/>
    </row>
    <row r="24" spans="1:15" x14ac:dyDescent="0.2">
      <c r="A24" s="18" t="s">
        <v>22</v>
      </c>
      <c r="B24" s="16" t="s">
        <v>8</v>
      </c>
      <c r="G24" s="59"/>
    </row>
    <row r="26" spans="1:15" x14ac:dyDescent="0.2">
      <c r="A26" s="20" t="s">
        <v>23</v>
      </c>
      <c r="B26" s="21">
        <f>DADOS!D21</f>
        <v>6.24</v>
      </c>
      <c r="C26" s="11" t="s">
        <v>205</v>
      </c>
    </row>
    <row r="27" spans="1:15" x14ac:dyDescent="0.2">
      <c r="A27" s="20" t="s">
        <v>571</v>
      </c>
      <c r="B27" s="21">
        <f>E27*26.08</f>
        <v>914.10399999999981</v>
      </c>
      <c r="C27" s="11" t="s">
        <v>207</v>
      </c>
      <c r="E27" s="11">
        <v>35.049999999999997</v>
      </c>
      <c r="I27" s="67"/>
    </row>
    <row r="28" spans="1:15" x14ac:dyDescent="0.2">
      <c r="A28" s="20" t="s">
        <v>24</v>
      </c>
      <c r="B28" s="21">
        <v>1.5</v>
      </c>
      <c r="C28" s="11" t="s">
        <v>206</v>
      </c>
    </row>
    <row r="29" spans="1:15" x14ac:dyDescent="0.2">
      <c r="A29" s="22" t="s">
        <v>25</v>
      </c>
      <c r="B29" s="21">
        <f>+(B27/B28)*B26</f>
        <v>3802.6726399999993</v>
      </c>
      <c r="C29" s="11" t="s">
        <v>130</v>
      </c>
      <c r="E29" s="24"/>
      <c r="G29" s="67"/>
    </row>
    <row r="30" spans="1:15" x14ac:dyDescent="0.2">
      <c r="A30" s="20"/>
      <c r="B30" s="21"/>
    </row>
    <row r="31" spans="1:15" x14ac:dyDescent="0.2">
      <c r="A31" s="18" t="s">
        <v>26</v>
      </c>
      <c r="B31" s="16" t="s">
        <v>8</v>
      </c>
    </row>
    <row r="33" spans="1:7" x14ac:dyDescent="0.2">
      <c r="A33" s="20" t="s">
        <v>94</v>
      </c>
      <c r="B33" s="21">
        <f>'BASCULANTE 6'!B33</f>
        <v>17849.400000000001</v>
      </c>
      <c r="C33" s="11" t="s">
        <v>37</v>
      </c>
    </row>
    <row r="34" spans="1:7" x14ac:dyDescent="0.2">
      <c r="A34" s="20" t="s">
        <v>27</v>
      </c>
      <c r="B34" s="21">
        <v>50000</v>
      </c>
      <c r="C34" s="11" t="s">
        <v>45</v>
      </c>
    </row>
    <row r="35" spans="1:7" x14ac:dyDescent="0.2">
      <c r="A35" s="20" t="s">
        <v>458</v>
      </c>
      <c r="B35" s="21">
        <f>B27</f>
        <v>914.10399999999981</v>
      </c>
      <c r="C35" s="11" t="s">
        <v>207</v>
      </c>
    </row>
    <row r="36" spans="1:7" x14ac:dyDescent="0.2">
      <c r="A36" s="20" t="s">
        <v>28</v>
      </c>
      <c r="B36" s="21">
        <f>+(B33*B35)/B34</f>
        <v>326.32415875199996</v>
      </c>
      <c r="C36" s="11" t="s">
        <v>130</v>
      </c>
      <c r="E36" s="24"/>
      <c r="G36" s="21"/>
    </row>
    <row r="37" spans="1:7" x14ac:dyDescent="0.2">
      <c r="A37" s="20"/>
      <c r="B37" s="21"/>
    </row>
    <row r="38" spans="1:7" x14ac:dyDescent="0.2">
      <c r="A38" s="20" t="s">
        <v>29</v>
      </c>
    </row>
    <row r="39" spans="1:7" x14ac:dyDescent="0.2">
      <c r="A39" s="20" t="s">
        <v>7</v>
      </c>
    </row>
    <row r="40" spans="1:7" x14ac:dyDescent="0.2">
      <c r="A40" s="20" t="s">
        <v>30</v>
      </c>
      <c r="B40" s="60">
        <v>0.65</v>
      </c>
      <c r="E40" s="24"/>
    </row>
    <row r="41" spans="1:7" x14ac:dyDescent="0.2">
      <c r="A41" s="20" t="s">
        <v>554</v>
      </c>
      <c r="B41" s="24">
        <f>G14</f>
        <v>843758</v>
      </c>
      <c r="C41" s="11" t="s">
        <v>37</v>
      </c>
    </row>
    <row r="42" spans="1:7" x14ac:dyDescent="0.2">
      <c r="A42" s="20" t="s">
        <v>32</v>
      </c>
      <c r="B42" s="21">
        <v>60</v>
      </c>
      <c r="C42" s="11" t="s">
        <v>55</v>
      </c>
    </row>
    <row r="43" spans="1:7" x14ac:dyDescent="0.2">
      <c r="A43" s="20" t="s">
        <v>33</v>
      </c>
      <c r="B43" s="21">
        <f>+(B40*B41)/B42</f>
        <v>9140.711666666668</v>
      </c>
      <c r="C43" s="11" t="s">
        <v>130</v>
      </c>
    </row>
    <row r="45" spans="1:7" x14ac:dyDescent="0.2">
      <c r="A45" s="22" t="s">
        <v>74</v>
      </c>
      <c r="B45" s="21"/>
    </row>
    <row r="46" spans="1:7" x14ac:dyDescent="0.2">
      <c r="A46" s="20"/>
      <c r="B46" s="21"/>
    </row>
    <row r="47" spans="1:7" x14ac:dyDescent="0.2">
      <c r="A47" s="22" t="s">
        <v>179</v>
      </c>
      <c r="B47" s="21">
        <f>LUBRIF!G7*((LUBRIF!G4/LUBRIF!G8)+(((1/1000)/1000)))*B27</f>
        <v>53.155557118591986</v>
      </c>
      <c r="C47" s="11" t="s">
        <v>130</v>
      </c>
      <c r="G47" s="67"/>
    </row>
    <row r="48" spans="1:7" x14ac:dyDescent="0.2">
      <c r="A48" s="22" t="s">
        <v>800</v>
      </c>
      <c r="B48" s="21">
        <f>(LUBRIF!G17+LUBRIF!G23)*B27</f>
        <v>47.606993371999991</v>
      </c>
      <c r="C48" s="11" t="s">
        <v>130</v>
      </c>
    </row>
    <row r="49" spans="1:7" x14ac:dyDescent="0.2">
      <c r="A49" s="22" t="s">
        <v>801</v>
      </c>
      <c r="B49" s="21">
        <f>LUBRIF!J36*(8*26.08)</f>
        <v>469.79546074074074</v>
      </c>
      <c r="C49" s="11" t="s">
        <v>130</v>
      </c>
    </row>
    <row r="50" spans="1:7" x14ac:dyDescent="0.2">
      <c r="A50" s="22" t="s">
        <v>802</v>
      </c>
      <c r="B50" s="21">
        <f>0.0015*B27</f>
        <v>1.3711559999999998</v>
      </c>
      <c r="C50" s="11" t="s">
        <v>130</v>
      </c>
    </row>
    <row r="51" spans="1:7" x14ac:dyDescent="0.2">
      <c r="A51" s="22" t="s">
        <v>803</v>
      </c>
      <c r="B51" s="21">
        <f>LUBRIF!G28*B27</f>
        <v>87.685426199999995</v>
      </c>
      <c r="C51" s="11" t="s">
        <v>130</v>
      </c>
    </row>
    <row r="52" spans="1:7" x14ac:dyDescent="0.2">
      <c r="A52" s="22" t="s">
        <v>804</v>
      </c>
      <c r="B52" s="21">
        <f>15*40</f>
        <v>600</v>
      </c>
      <c r="C52" s="11" t="s">
        <v>130</v>
      </c>
    </row>
    <row r="53" spans="1:7" x14ac:dyDescent="0.2">
      <c r="A53" s="22" t="s">
        <v>805</v>
      </c>
      <c r="B53" s="21">
        <f>0.03*B29</f>
        <v>114.08017919999998</v>
      </c>
      <c r="C53" s="11" t="s">
        <v>130</v>
      </c>
    </row>
    <row r="54" spans="1:7" x14ac:dyDescent="0.2">
      <c r="A54" s="22" t="s">
        <v>806</v>
      </c>
      <c r="B54" s="64">
        <f>+B47+B48+B49+B50+B51+B52+B53</f>
        <v>1373.6947726313326</v>
      </c>
      <c r="C54" s="11" t="s">
        <v>130</v>
      </c>
    </row>
    <row r="55" spans="1:7" x14ac:dyDescent="0.2">
      <c r="A55" s="22"/>
      <c r="B55" s="21"/>
      <c r="G55" s="67"/>
    </row>
    <row r="56" spans="1:7" x14ac:dyDescent="0.2">
      <c r="A56" s="22" t="s">
        <v>81</v>
      </c>
      <c r="B56" s="21"/>
    </row>
    <row r="57" spans="1:7" x14ac:dyDescent="0.2">
      <c r="A57" s="22"/>
      <c r="B57" s="21"/>
    </row>
    <row r="58" spans="1:7" x14ac:dyDescent="0.2">
      <c r="A58" s="22" t="s">
        <v>151</v>
      </c>
      <c r="B58" s="21"/>
      <c r="C58" s="11" t="s">
        <v>130</v>
      </c>
    </row>
    <row r="59" spans="1:7" x14ac:dyDescent="0.2">
      <c r="A59" s="22" t="s">
        <v>541</v>
      </c>
      <c r="B59" s="21">
        <f>(213.84+(+G12*1%))/12</f>
        <v>482.97666666666669</v>
      </c>
      <c r="C59" s="11" t="s">
        <v>130</v>
      </c>
    </row>
    <row r="60" spans="1:7" x14ac:dyDescent="0.2">
      <c r="A60" s="11" t="s">
        <v>82</v>
      </c>
      <c r="B60" s="33"/>
      <c r="C60" s="11" t="s">
        <v>130</v>
      </c>
    </row>
    <row r="62" spans="1:7" hidden="1" x14ac:dyDescent="0.2">
      <c r="A62" s="25" t="s">
        <v>83</v>
      </c>
      <c r="B62" s="26">
        <f>B60+B54+B43+B36+B29+B22+B16</f>
        <v>14643.403238049999</v>
      </c>
      <c r="C62" s="29" t="s">
        <v>130</v>
      </c>
    </row>
    <row r="63" spans="1:7" hidden="1" x14ac:dyDescent="0.2"/>
    <row r="64" spans="1:7" x14ac:dyDescent="0.2">
      <c r="A64" s="25" t="s">
        <v>555</v>
      </c>
      <c r="B64" s="171">
        <f>(B29+B36+B54)-B52</f>
        <v>4902.6915713833323</v>
      </c>
      <c r="C64" s="25" t="s">
        <v>130</v>
      </c>
    </row>
  </sheetData>
  <mergeCells count="4">
    <mergeCell ref="A1:B1"/>
    <mergeCell ref="A2:B2"/>
    <mergeCell ref="A6:B6"/>
    <mergeCell ref="A8:B8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C16C-6E66-4E53-8B2B-526EF785259E}">
  <dimension ref="A1:O64"/>
  <sheetViews>
    <sheetView view="pageBreakPreview" topLeftCell="A5" zoomScaleNormal="100" zoomScaleSheetLayoutView="100" workbookViewId="0">
      <selection activeCell="G14" sqref="G14"/>
    </sheetView>
  </sheetViews>
  <sheetFormatPr defaultColWidth="12" defaultRowHeight="12.75" x14ac:dyDescent="0.2"/>
  <cols>
    <col min="1" max="1" width="60.83203125" style="11" customWidth="1"/>
    <col min="2" max="2" width="18.83203125" style="11" customWidth="1"/>
    <col min="3" max="3" width="10.1640625" style="11" customWidth="1"/>
    <col min="4" max="4" width="12" style="11"/>
    <col min="5" max="5" width="16.33203125" style="11" customWidth="1"/>
    <col min="6" max="6" width="15.1640625" style="11" customWidth="1"/>
    <col min="7" max="7" width="14" style="11" customWidth="1"/>
    <col min="8" max="16384" width="12" style="11"/>
  </cols>
  <sheetData>
    <row r="1" spans="1:15" ht="18.75" hidden="1" x14ac:dyDescent="0.3">
      <c r="A1" s="335" t="s">
        <v>215</v>
      </c>
      <c r="B1" s="335"/>
      <c r="C1" s="9"/>
      <c r="D1" s="9"/>
      <c r="E1" s="9"/>
      <c r="F1" s="10"/>
    </row>
    <row r="2" spans="1:15" ht="18" hidden="1" customHeight="1" x14ac:dyDescent="0.25">
      <c r="A2" s="335"/>
      <c r="B2" s="335"/>
      <c r="C2" s="9"/>
      <c r="D2" s="9"/>
      <c r="E2" s="9"/>
      <c r="F2" s="12"/>
    </row>
    <row r="3" spans="1:15" hidden="1" x14ac:dyDescent="0.2">
      <c r="A3" s="13"/>
      <c r="B3" s="13"/>
      <c r="C3" s="13"/>
      <c r="D3" s="13"/>
      <c r="E3" s="13"/>
      <c r="F3" s="13"/>
    </row>
    <row r="4" spans="1:15" hidden="1" x14ac:dyDescent="0.2">
      <c r="A4" s="14" t="s">
        <v>217</v>
      </c>
      <c r="B4" s="14" t="s">
        <v>211</v>
      </c>
      <c r="C4" s="13"/>
      <c r="E4" s="13"/>
      <c r="F4" s="13"/>
    </row>
    <row r="5" spans="1:15" x14ac:dyDescent="0.2">
      <c r="A5" s="12"/>
      <c r="B5" s="13"/>
      <c r="C5" s="13"/>
      <c r="D5" s="13"/>
      <c r="E5" s="13"/>
    </row>
    <row r="6" spans="1:15" x14ac:dyDescent="0.2">
      <c r="A6" s="336" t="s">
        <v>0</v>
      </c>
      <c r="B6" s="336"/>
      <c r="C6" s="15"/>
      <c r="D6" s="15"/>
      <c r="E6" s="15"/>
    </row>
    <row r="7" spans="1:15" x14ac:dyDescent="0.2">
      <c r="A7" s="16"/>
      <c r="B7" s="16"/>
    </row>
    <row r="8" spans="1:15" ht="15" x14ac:dyDescent="0.2">
      <c r="A8" s="337" t="s">
        <v>327</v>
      </c>
      <c r="B8" s="337"/>
    </row>
    <row r="10" spans="1:15" x14ac:dyDescent="0.2">
      <c r="A10" s="34" t="s">
        <v>15</v>
      </c>
    </row>
    <row r="12" spans="1:15" x14ac:dyDescent="0.2">
      <c r="A12" s="20" t="s">
        <v>152</v>
      </c>
      <c r="B12" s="21">
        <f>G14</f>
        <v>843758</v>
      </c>
      <c r="C12" s="11" t="s">
        <v>37</v>
      </c>
      <c r="E12" s="1" t="s">
        <v>715</v>
      </c>
      <c r="F12" s="1" t="s">
        <v>225</v>
      </c>
      <c r="G12" s="65">
        <v>558188</v>
      </c>
      <c r="I12" t="s">
        <v>522</v>
      </c>
      <c r="J12" t="s">
        <v>523</v>
      </c>
      <c r="K12" s="185" t="s">
        <v>524</v>
      </c>
      <c r="L12" t="s">
        <v>525</v>
      </c>
      <c r="M12" t="s">
        <v>526</v>
      </c>
    </row>
    <row r="13" spans="1:15" x14ac:dyDescent="0.2">
      <c r="A13" s="20" t="s">
        <v>16</v>
      </c>
      <c r="B13" s="21">
        <v>60</v>
      </c>
      <c r="C13" s="11" t="s">
        <v>55</v>
      </c>
      <c r="F13" s="11" t="s">
        <v>227</v>
      </c>
      <c r="G13" s="59">
        <f>'COMPACTADOR 15 m3'!G13</f>
        <v>285570</v>
      </c>
      <c r="I13">
        <v>1</v>
      </c>
      <c r="J13" s="185">
        <f>$G$14</f>
        <v>843758</v>
      </c>
      <c r="K13" s="185">
        <f>SLN($G$14,$B$15,$G$15)</f>
        <v>135001.28</v>
      </c>
      <c r="L13" s="185">
        <f>K13</f>
        <v>135001.28</v>
      </c>
      <c r="M13" s="185">
        <f>J13-L13</f>
        <v>708756.72</v>
      </c>
      <c r="O13" s="59">
        <f>(G19/G14)*100</f>
        <v>0</v>
      </c>
    </row>
    <row r="14" spans="1:15" x14ac:dyDescent="0.2">
      <c r="A14" s="20" t="s">
        <v>17</v>
      </c>
      <c r="B14" s="60">
        <v>0.2</v>
      </c>
      <c r="G14" s="59">
        <f>G12+G13</f>
        <v>843758</v>
      </c>
      <c r="I14">
        <v>2</v>
      </c>
      <c r="J14" s="185">
        <f>$G$14</f>
        <v>843758</v>
      </c>
      <c r="K14" s="185">
        <f>SLN($G$14,$B$15,$G$15)</f>
        <v>135001.28</v>
      </c>
      <c r="L14" s="185">
        <f>K14+L13</f>
        <v>270002.56</v>
      </c>
      <c r="M14" s="185">
        <f>J14-L14</f>
        <v>573755.43999999994</v>
      </c>
      <c r="O14" s="59">
        <f>($G$19/M13)*100</f>
        <v>0</v>
      </c>
    </row>
    <row r="15" spans="1:15" x14ac:dyDescent="0.2">
      <c r="A15" s="20" t="s">
        <v>224</v>
      </c>
      <c r="B15" s="23">
        <f>G14*B14</f>
        <v>168751.6</v>
      </c>
      <c r="G15" s="11">
        <v>5</v>
      </c>
      <c r="I15">
        <v>3</v>
      </c>
      <c r="J15" s="185">
        <f>$G$14</f>
        <v>843758</v>
      </c>
      <c r="K15" s="185">
        <f>SLN($G$14,$B$15,$G$15)</f>
        <v>135001.28</v>
      </c>
      <c r="L15" s="185">
        <f>K15+L14</f>
        <v>405003.83999999997</v>
      </c>
      <c r="M15" s="185">
        <f>J15-L15</f>
        <v>438754.16000000003</v>
      </c>
      <c r="O15" s="59">
        <f>($G$19/M14)*100</f>
        <v>0</v>
      </c>
    </row>
    <row r="16" spans="1:15" x14ac:dyDescent="0.2">
      <c r="A16" s="11" t="s">
        <v>223</v>
      </c>
      <c r="B16" s="21">
        <f>(B12-B15)/B13</f>
        <v>11250.106666666667</v>
      </c>
      <c r="C16" s="11" t="s">
        <v>130</v>
      </c>
      <c r="G16" s="59"/>
      <c r="I16">
        <v>4</v>
      </c>
      <c r="J16" s="185">
        <f>$G$14</f>
        <v>843758</v>
      </c>
      <c r="K16" s="185">
        <f>SLN($G$14,$B$15,$G$15)</f>
        <v>135001.28</v>
      </c>
      <c r="L16" s="185">
        <f>K16+L15</f>
        <v>540005.12</v>
      </c>
      <c r="M16" s="185">
        <f>J16-L16</f>
        <v>303752.88</v>
      </c>
      <c r="O16" s="59">
        <f>($G$19/M15)*100</f>
        <v>0</v>
      </c>
    </row>
    <row r="17" spans="1:15" x14ac:dyDescent="0.2">
      <c r="G17" s="59"/>
      <c r="I17">
        <v>5</v>
      </c>
      <c r="J17" s="185">
        <f>$G$14</f>
        <v>843758</v>
      </c>
      <c r="K17" s="185">
        <f>SLN($G$14,$B$15,$G$15)</f>
        <v>135001.28</v>
      </c>
      <c r="L17" s="185">
        <f>K17+L16</f>
        <v>675006.4</v>
      </c>
      <c r="M17" s="185">
        <f>J17-L17</f>
        <v>168751.59999999998</v>
      </c>
      <c r="O17" s="59">
        <f>($G$19/M16)*100</f>
        <v>0</v>
      </c>
    </row>
    <row r="18" spans="1:15" x14ac:dyDescent="0.2">
      <c r="A18" s="19" t="s">
        <v>18</v>
      </c>
      <c r="G18" s="59"/>
      <c r="O18" s="59">
        <f>($G$19/M17)*100</f>
        <v>0</v>
      </c>
    </row>
    <row r="19" spans="1:15" x14ac:dyDescent="0.2">
      <c r="G19" s="59"/>
    </row>
    <row r="20" spans="1:15" x14ac:dyDescent="0.2">
      <c r="A20" s="61" t="s">
        <v>19</v>
      </c>
      <c r="B20" s="16">
        <f>+B12</f>
        <v>843758</v>
      </c>
      <c r="C20" s="11" t="s">
        <v>37</v>
      </c>
      <c r="E20" s="67"/>
      <c r="G20" s="59"/>
    </row>
    <row r="21" spans="1:15" x14ac:dyDescent="0.2">
      <c r="A21" s="61" t="s">
        <v>539</v>
      </c>
      <c r="B21" s="187">
        <f>'BASCULANTE 6'!B21</f>
        <v>0.14249999999999999</v>
      </c>
    </row>
    <row r="22" spans="1:15" x14ac:dyDescent="0.2">
      <c r="A22" s="61" t="s">
        <v>21</v>
      </c>
      <c r="B22" s="16">
        <f>((B12-B15)*B21)/12</f>
        <v>8015.701</v>
      </c>
      <c r="C22" s="11" t="s">
        <v>130</v>
      </c>
      <c r="G22" s="59"/>
    </row>
    <row r="23" spans="1:15" x14ac:dyDescent="0.2">
      <c r="A23" s="16" t="s">
        <v>8</v>
      </c>
      <c r="B23" s="16" t="s">
        <v>8</v>
      </c>
      <c r="G23" s="191"/>
    </row>
    <row r="24" spans="1:15" x14ac:dyDescent="0.2">
      <c r="A24" s="18" t="s">
        <v>22</v>
      </c>
      <c r="B24" s="16" t="s">
        <v>8</v>
      </c>
      <c r="G24" s="59"/>
    </row>
    <row r="26" spans="1:15" x14ac:dyDescent="0.2">
      <c r="A26" s="20" t="s">
        <v>23</v>
      </c>
      <c r="B26" s="21">
        <f>DADOS!D21</f>
        <v>6.24</v>
      </c>
      <c r="C26" s="11" t="s">
        <v>205</v>
      </c>
    </row>
    <row r="27" spans="1:15" x14ac:dyDescent="0.2">
      <c r="A27" s="20" t="s">
        <v>570</v>
      </c>
      <c r="B27" s="21">
        <f>E27*26.08</f>
        <v>394.32959999999997</v>
      </c>
      <c r="C27" s="11" t="s">
        <v>207</v>
      </c>
      <c r="E27" s="11">
        <f>'COMPACTADOR 15 m3'!E27/2</f>
        <v>15.12</v>
      </c>
      <c r="I27" s="67"/>
      <c r="K27" s="59">
        <v>6720.5</v>
      </c>
    </row>
    <row r="28" spans="1:15" x14ac:dyDescent="0.2">
      <c r="A28" s="20" t="s">
        <v>24</v>
      </c>
      <c r="B28" s="21">
        <v>1.5</v>
      </c>
      <c r="C28" s="11" t="s">
        <v>206</v>
      </c>
      <c r="K28" s="59">
        <v>557.89</v>
      </c>
      <c r="L28" s="59">
        <f>SUM(K27:K28)</f>
        <v>7278.39</v>
      </c>
      <c r="M28" s="11">
        <f>L28/7</f>
        <v>1039.77</v>
      </c>
    </row>
    <row r="29" spans="1:15" x14ac:dyDescent="0.2">
      <c r="A29" s="22" t="s">
        <v>25</v>
      </c>
      <c r="B29" s="21">
        <f>+(B27/B28)*B26</f>
        <v>1640.4111359999999</v>
      </c>
      <c r="C29" s="11" t="s">
        <v>130</v>
      </c>
      <c r="E29" s="24"/>
      <c r="G29" s="67"/>
      <c r="K29" s="59">
        <v>2240.17</v>
      </c>
    </row>
    <row r="30" spans="1:15" x14ac:dyDescent="0.2">
      <c r="A30" s="20"/>
      <c r="B30" s="21"/>
      <c r="K30" s="59"/>
    </row>
    <row r="31" spans="1:15" x14ac:dyDescent="0.2">
      <c r="A31" s="18" t="s">
        <v>26</v>
      </c>
      <c r="B31" s="16" t="s">
        <v>8</v>
      </c>
      <c r="K31" s="59"/>
    </row>
    <row r="32" spans="1:15" x14ac:dyDescent="0.2">
      <c r="K32" s="59">
        <f>K29/2</f>
        <v>1120.085</v>
      </c>
    </row>
    <row r="33" spans="1:7" x14ac:dyDescent="0.2">
      <c r="A33" s="20" t="s">
        <v>94</v>
      </c>
      <c r="B33" s="21">
        <f>'BASCULANTE 6'!B33</f>
        <v>17849.400000000001</v>
      </c>
      <c r="C33" s="11" t="s">
        <v>37</v>
      </c>
    </row>
    <row r="34" spans="1:7" x14ac:dyDescent="0.2">
      <c r="A34" s="20" t="s">
        <v>27</v>
      </c>
      <c r="B34" s="21">
        <v>50000</v>
      </c>
      <c r="C34" s="11" t="s">
        <v>45</v>
      </c>
    </row>
    <row r="35" spans="1:7" x14ac:dyDescent="0.2">
      <c r="A35" s="20" t="s">
        <v>458</v>
      </c>
      <c r="B35" s="21">
        <f>B27</f>
        <v>394.32959999999997</v>
      </c>
      <c r="C35" s="11" t="s">
        <v>207</v>
      </c>
    </row>
    <row r="36" spans="1:7" x14ac:dyDescent="0.2">
      <c r="A36" s="20" t="s">
        <v>28</v>
      </c>
      <c r="B36" s="21">
        <f>+(B33*B35)/B34</f>
        <v>140.7709352448</v>
      </c>
      <c r="C36" s="11" t="s">
        <v>130</v>
      </c>
      <c r="E36" s="24"/>
      <c r="G36" s="21"/>
    </row>
    <row r="37" spans="1:7" x14ac:dyDescent="0.2">
      <c r="A37" s="20"/>
      <c r="B37" s="21"/>
    </row>
    <row r="38" spans="1:7" x14ac:dyDescent="0.2">
      <c r="A38" s="20" t="s">
        <v>29</v>
      </c>
    </row>
    <row r="39" spans="1:7" x14ac:dyDescent="0.2">
      <c r="A39" s="20" t="s">
        <v>7</v>
      </c>
    </row>
    <row r="40" spans="1:7" x14ac:dyDescent="0.2">
      <c r="A40" s="20" t="s">
        <v>30</v>
      </c>
      <c r="B40" s="60">
        <v>0.65</v>
      </c>
      <c r="E40" s="24"/>
    </row>
    <row r="41" spans="1:7" x14ac:dyDescent="0.2">
      <c r="A41" s="20" t="s">
        <v>554</v>
      </c>
      <c r="B41" s="24">
        <f>G14</f>
        <v>843758</v>
      </c>
      <c r="C41" s="11" t="s">
        <v>37</v>
      </c>
    </row>
    <row r="42" spans="1:7" x14ac:dyDescent="0.2">
      <c r="A42" s="20" t="s">
        <v>32</v>
      </c>
      <c r="B42" s="21">
        <v>60</v>
      </c>
      <c r="C42" s="11" t="s">
        <v>55</v>
      </c>
    </row>
    <row r="43" spans="1:7" x14ac:dyDescent="0.2">
      <c r="A43" s="20" t="s">
        <v>33</v>
      </c>
      <c r="B43" s="21">
        <f>+(B40*B41)/B42</f>
        <v>9140.711666666668</v>
      </c>
      <c r="C43" s="11" t="s">
        <v>130</v>
      </c>
    </row>
    <row r="45" spans="1:7" x14ac:dyDescent="0.2">
      <c r="A45" s="22" t="s">
        <v>74</v>
      </c>
      <c r="B45" s="21"/>
    </row>
    <row r="46" spans="1:7" x14ac:dyDescent="0.2">
      <c r="A46" s="20"/>
      <c r="B46" s="21"/>
    </row>
    <row r="47" spans="1:7" x14ac:dyDescent="0.2">
      <c r="A47" s="22" t="s">
        <v>179</v>
      </c>
      <c r="B47" s="21">
        <f>LUBRIF!G7*((LUBRIF!G4/LUBRIF!G8)+(((1/1000)/1000)))*B27</f>
        <v>22.930442899660797</v>
      </c>
      <c r="C47" s="11" t="s">
        <v>130</v>
      </c>
      <c r="G47" s="67"/>
    </row>
    <row r="48" spans="1:7" x14ac:dyDescent="0.2">
      <c r="A48" s="22" t="s">
        <v>800</v>
      </c>
      <c r="B48" s="21">
        <f>(LUBRIF!G17+LUBRIF!G23)*B27</f>
        <v>20.536882732799999</v>
      </c>
      <c r="C48" s="11" t="s">
        <v>130</v>
      </c>
    </row>
    <row r="49" spans="1:7" x14ac:dyDescent="0.2">
      <c r="A49" s="22" t="s">
        <v>807</v>
      </c>
      <c r="B49" s="21">
        <f>LUBRIF!J36*(8*26.08)/2</f>
        <v>234.89773037037037</v>
      </c>
      <c r="C49" s="11" t="s">
        <v>130</v>
      </c>
    </row>
    <row r="50" spans="1:7" x14ac:dyDescent="0.2">
      <c r="A50" s="22" t="s">
        <v>802</v>
      </c>
      <c r="B50" s="21">
        <f>0.0015*B27</f>
        <v>0.59149439999999998</v>
      </c>
      <c r="C50" s="11" t="s">
        <v>130</v>
      </c>
    </row>
    <row r="51" spans="1:7" x14ac:dyDescent="0.2">
      <c r="A51" s="22" t="s">
        <v>803</v>
      </c>
      <c r="B51" s="21">
        <f>LUBRIF!G28*B27</f>
        <v>37.826066879999999</v>
      </c>
      <c r="C51" s="11" t="s">
        <v>130</v>
      </c>
    </row>
    <row r="52" spans="1:7" x14ac:dyDescent="0.2">
      <c r="A52" s="22" t="s">
        <v>804</v>
      </c>
      <c r="B52" s="21">
        <f>15*40</f>
        <v>600</v>
      </c>
      <c r="C52" s="11" t="s">
        <v>130</v>
      </c>
    </row>
    <row r="53" spans="1:7" x14ac:dyDescent="0.2">
      <c r="A53" s="22" t="s">
        <v>805</v>
      </c>
      <c r="B53" s="21">
        <f>0.03*B29</f>
        <v>49.212334079999998</v>
      </c>
      <c r="C53" s="11" t="s">
        <v>130</v>
      </c>
    </row>
    <row r="54" spans="1:7" x14ac:dyDescent="0.2">
      <c r="A54" s="22" t="s">
        <v>806</v>
      </c>
      <c r="B54" s="64">
        <f>+B47+B48+B49+B50+B51+B52+B53</f>
        <v>965.9949513628311</v>
      </c>
      <c r="C54" s="11" t="s">
        <v>130</v>
      </c>
    </row>
    <row r="55" spans="1:7" x14ac:dyDescent="0.2">
      <c r="A55" s="22"/>
      <c r="B55" s="21"/>
      <c r="G55" s="67"/>
    </row>
    <row r="56" spans="1:7" x14ac:dyDescent="0.2">
      <c r="A56" s="22" t="s">
        <v>81</v>
      </c>
      <c r="B56" s="21"/>
    </row>
    <row r="57" spans="1:7" x14ac:dyDescent="0.2">
      <c r="A57" s="22"/>
      <c r="B57" s="21"/>
    </row>
    <row r="58" spans="1:7" x14ac:dyDescent="0.2">
      <c r="A58" s="22" t="s">
        <v>151</v>
      </c>
      <c r="B58" s="21">
        <f>(+B12*3%)/12</f>
        <v>2109.395</v>
      </c>
      <c r="C58" s="11" t="s">
        <v>130</v>
      </c>
    </row>
    <row r="59" spans="1:7" x14ac:dyDescent="0.2">
      <c r="A59" s="22" t="s">
        <v>541</v>
      </c>
      <c r="B59" s="21">
        <f>(213.84+(+G12*1%))/12</f>
        <v>482.97666666666669</v>
      </c>
      <c r="C59" s="11" t="s">
        <v>130</v>
      </c>
    </row>
    <row r="60" spans="1:7" x14ac:dyDescent="0.2">
      <c r="A60" s="11" t="s">
        <v>82</v>
      </c>
      <c r="B60" s="33">
        <f>+B58+B59</f>
        <v>2592.3716666666669</v>
      </c>
      <c r="C60" s="11" t="s">
        <v>130</v>
      </c>
    </row>
    <row r="62" spans="1:7" x14ac:dyDescent="0.2">
      <c r="A62" s="25" t="s">
        <v>83</v>
      </c>
      <c r="B62" s="26">
        <f>B60+B54+B43+B36+B29+B22+B16</f>
        <v>33746.068022607637</v>
      </c>
      <c r="C62" s="29" t="s">
        <v>130</v>
      </c>
    </row>
    <row r="64" spans="1:7" hidden="1" x14ac:dyDescent="0.2">
      <c r="A64" s="25" t="s">
        <v>420</v>
      </c>
      <c r="B64" s="171">
        <f>(B29+B36+B54)-B51</f>
        <v>2709.3509557276311</v>
      </c>
      <c r="C64" s="25" t="s">
        <v>130</v>
      </c>
    </row>
  </sheetData>
  <mergeCells count="4">
    <mergeCell ref="A1:B1"/>
    <mergeCell ref="A2:B2"/>
    <mergeCell ref="A6:B6"/>
    <mergeCell ref="A8:B8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F08AA-487B-444C-B96B-222E8B3C337E}">
  <dimension ref="A1:O66"/>
  <sheetViews>
    <sheetView view="pageBreakPreview" topLeftCell="A5" zoomScaleNormal="100" zoomScaleSheetLayoutView="100" workbookViewId="0">
      <selection activeCell="G14" sqref="G14"/>
    </sheetView>
  </sheetViews>
  <sheetFormatPr defaultColWidth="12" defaultRowHeight="12.75" x14ac:dyDescent="0.2"/>
  <cols>
    <col min="1" max="1" width="60.83203125" style="11" customWidth="1"/>
    <col min="2" max="2" width="18.83203125" style="11" customWidth="1"/>
    <col min="3" max="3" width="10.1640625" style="11" customWidth="1"/>
    <col min="4" max="4" width="12" style="11"/>
    <col min="5" max="5" width="16.33203125" style="11" customWidth="1"/>
    <col min="6" max="6" width="15.1640625" style="11" customWidth="1"/>
    <col min="7" max="7" width="14" style="11" customWidth="1"/>
    <col min="8" max="16384" width="12" style="11"/>
  </cols>
  <sheetData>
    <row r="1" spans="1:15" ht="18.75" hidden="1" x14ac:dyDescent="0.3">
      <c r="A1" s="335" t="s">
        <v>215</v>
      </c>
      <c r="B1" s="335"/>
      <c r="C1" s="9"/>
      <c r="D1" s="9"/>
      <c r="E1" s="9"/>
      <c r="F1" s="10"/>
    </row>
    <row r="2" spans="1:15" ht="18" hidden="1" customHeight="1" x14ac:dyDescent="0.25">
      <c r="A2" s="335"/>
      <c r="B2" s="335"/>
      <c r="C2" s="9"/>
      <c r="D2" s="9"/>
      <c r="E2" s="9"/>
      <c r="F2" s="12"/>
    </row>
    <row r="3" spans="1:15" hidden="1" x14ac:dyDescent="0.2">
      <c r="A3" s="13"/>
      <c r="B3" s="13"/>
      <c r="C3" s="13"/>
      <c r="D3" s="13"/>
      <c r="E3" s="13"/>
      <c r="F3" s="13"/>
    </row>
    <row r="4" spans="1:15" hidden="1" x14ac:dyDescent="0.2">
      <c r="A4" s="14" t="s">
        <v>217</v>
      </c>
      <c r="B4" s="14" t="s">
        <v>211</v>
      </c>
      <c r="C4" s="13"/>
      <c r="E4" s="13"/>
      <c r="F4" s="13"/>
    </row>
    <row r="5" spans="1:15" x14ac:dyDescent="0.2">
      <c r="A5" s="12"/>
      <c r="B5" s="13"/>
      <c r="C5" s="13"/>
      <c r="D5" s="13"/>
      <c r="E5" s="13"/>
    </row>
    <row r="6" spans="1:15" x14ac:dyDescent="0.2">
      <c r="A6" s="336" t="s">
        <v>0</v>
      </c>
      <c r="B6" s="336"/>
      <c r="C6" s="15"/>
      <c r="D6" s="15"/>
      <c r="E6" s="15"/>
    </row>
    <row r="7" spans="1:15" x14ac:dyDescent="0.2">
      <c r="A7" s="16"/>
      <c r="B7" s="16"/>
    </row>
    <row r="8" spans="1:15" x14ac:dyDescent="0.2">
      <c r="A8" s="337" t="s">
        <v>630</v>
      </c>
      <c r="B8" s="337"/>
    </row>
    <row r="10" spans="1:15" x14ac:dyDescent="0.2">
      <c r="A10" s="34" t="s">
        <v>15</v>
      </c>
    </row>
    <row r="12" spans="1:15" x14ac:dyDescent="0.2">
      <c r="A12" s="20" t="s">
        <v>152</v>
      </c>
      <c r="B12" s="21">
        <f>G14</f>
        <v>843758</v>
      </c>
      <c r="C12" s="11" t="s">
        <v>37</v>
      </c>
      <c r="E12" s="1" t="s">
        <v>715</v>
      </c>
      <c r="F12" s="1" t="s">
        <v>225</v>
      </c>
      <c r="G12" s="65">
        <v>558188</v>
      </c>
      <c r="I12" t="s">
        <v>522</v>
      </c>
      <c r="J12" t="s">
        <v>523</v>
      </c>
      <c r="K12" s="185" t="s">
        <v>524</v>
      </c>
      <c r="L12" t="s">
        <v>525</v>
      </c>
      <c r="M12" t="s">
        <v>526</v>
      </c>
    </row>
    <row r="13" spans="1:15" x14ac:dyDescent="0.2">
      <c r="A13" s="20" t="s">
        <v>16</v>
      </c>
      <c r="B13" s="21">
        <v>60</v>
      </c>
      <c r="C13" s="11" t="s">
        <v>55</v>
      </c>
      <c r="F13" s="11" t="s">
        <v>227</v>
      </c>
      <c r="G13" s="59">
        <f>'COMPACTADOR 15 m3'!G13</f>
        <v>285570</v>
      </c>
      <c r="I13">
        <v>1</v>
      </c>
      <c r="J13" s="185">
        <f>$G$14</f>
        <v>843758</v>
      </c>
      <c r="K13" s="185">
        <f>SLN($G$14,$B$15,$G$15)</f>
        <v>135001.28</v>
      </c>
      <c r="L13" s="185">
        <f>K13</f>
        <v>135001.28</v>
      </c>
      <c r="M13" s="185">
        <f>J13-L13</f>
        <v>708756.72</v>
      </c>
      <c r="O13" s="59">
        <f>(G19/G14)*100</f>
        <v>0</v>
      </c>
    </row>
    <row r="14" spans="1:15" x14ac:dyDescent="0.2">
      <c r="A14" s="20" t="s">
        <v>17</v>
      </c>
      <c r="B14" s="60">
        <v>0.2</v>
      </c>
      <c r="G14" s="59">
        <f>G12+G13</f>
        <v>843758</v>
      </c>
      <c r="I14">
        <v>2</v>
      </c>
      <c r="J14" s="185">
        <f>$G$14</f>
        <v>843758</v>
      </c>
      <c r="K14" s="185">
        <f>SLN($G$14,$B$15,$G$15)</f>
        <v>135001.28</v>
      </c>
      <c r="L14" s="185">
        <f>K14+L13</f>
        <v>270002.56</v>
      </c>
      <c r="M14" s="185">
        <f>J14-L14</f>
        <v>573755.43999999994</v>
      </c>
      <c r="O14" s="59">
        <f>($G$19/M13)*100</f>
        <v>0</v>
      </c>
    </row>
    <row r="15" spans="1:15" x14ac:dyDescent="0.2">
      <c r="A15" s="20" t="s">
        <v>224</v>
      </c>
      <c r="B15" s="23">
        <f>G14*B14</f>
        <v>168751.6</v>
      </c>
      <c r="G15" s="11">
        <v>5</v>
      </c>
      <c r="I15">
        <v>3</v>
      </c>
      <c r="J15" s="185">
        <f>$G$14</f>
        <v>843758</v>
      </c>
      <c r="K15" s="185">
        <f>SLN($G$14,$B$15,$G$15)</f>
        <v>135001.28</v>
      </c>
      <c r="L15" s="185">
        <f>K15+L14</f>
        <v>405003.83999999997</v>
      </c>
      <c r="M15" s="185">
        <f>J15-L15</f>
        <v>438754.16000000003</v>
      </c>
      <c r="O15" s="59">
        <f>($G$19/M14)*100</f>
        <v>0</v>
      </c>
    </row>
    <row r="16" spans="1:15" x14ac:dyDescent="0.2">
      <c r="A16" s="11" t="s">
        <v>223</v>
      </c>
      <c r="B16" s="21">
        <f>(B12-B15)/B13</f>
        <v>11250.106666666667</v>
      </c>
      <c r="C16" s="11" t="s">
        <v>130</v>
      </c>
      <c r="G16" s="59"/>
      <c r="I16">
        <v>4</v>
      </c>
      <c r="J16" s="185">
        <f>$G$14</f>
        <v>843758</v>
      </c>
      <c r="K16" s="185">
        <f>SLN($G$14,$B$15,$G$15)</f>
        <v>135001.28</v>
      </c>
      <c r="L16" s="185">
        <f>K16+L15</f>
        <v>540005.12</v>
      </c>
      <c r="M16" s="185">
        <f>J16-L16</f>
        <v>303752.88</v>
      </c>
      <c r="O16" s="59">
        <f>($G$19/M15)*100</f>
        <v>0</v>
      </c>
    </row>
    <row r="17" spans="1:15" x14ac:dyDescent="0.2">
      <c r="G17" s="59"/>
      <c r="I17">
        <v>5</v>
      </c>
      <c r="J17" s="185">
        <f>$G$14</f>
        <v>843758</v>
      </c>
      <c r="K17" s="185">
        <f>SLN($G$14,$B$15,$G$15)</f>
        <v>135001.28</v>
      </c>
      <c r="L17" s="185">
        <f>K17+L16</f>
        <v>675006.4</v>
      </c>
      <c r="M17" s="185">
        <f>J17-L17</f>
        <v>168751.59999999998</v>
      </c>
      <c r="O17" s="59">
        <f>($G$19/M16)*100</f>
        <v>0</v>
      </c>
    </row>
    <row r="18" spans="1:15" x14ac:dyDescent="0.2">
      <c r="A18" s="19" t="s">
        <v>18</v>
      </c>
      <c r="G18" s="59"/>
      <c r="O18" s="59">
        <f>($G$19/M17)*100</f>
        <v>0</v>
      </c>
    </row>
    <row r="19" spans="1:15" x14ac:dyDescent="0.2">
      <c r="G19" s="59"/>
    </row>
    <row r="20" spans="1:15" x14ac:dyDescent="0.2">
      <c r="A20" s="61" t="s">
        <v>19</v>
      </c>
      <c r="B20" s="16">
        <f>+B12</f>
        <v>843758</v>
      </c>
      <c r="C20" s="11" t="s">
        <v>37</v>
      </c>
      <c r="E20" s="67"/>
      <c r="G20" s="59"/>
    </row>
    <row r="21" spans="1:15" x14ac:dyDescent="0.2">
      <c r="A21" s="61" t="s">
        <v>539</v>
      </c>
      <c r="B21" s="187">
        <f>'BASCULANTE 6'!B21</f>
        <v>0.14249999999999999</v>
      </c>
    </row>
    <row r="22" spans="1:15" x14ac:dyDescent="0.2">
      <c r="A22" s="61" t="s">
        <v>21</v>
      </c>
      <c r="B22" s="16">
        <f>((B12-B15)*B21)/12</f>
        <v>8015.701</v>
      </c>
      <c r="C22" s="11" t="s">
        <v>130</v>
      </c>
      <c r="G22" s="59"/>
    </row>
    <row r="23" spans="1:15" x14ac:dyDescent="0.2">
      <c r="A23" s="16" t="s">
        <v>8</v>
      </c>
      <c r="B23" s="16" t="s">
        <v>8</v>
      </c>
      <c r="G23" s="191"/>
    </row>
    <row r="24" spans="1:15" x14ac:dyDescent="0.2">
      <c r="A24" s="18" t="s">
        <v>22</v>
      </c>
      <c r="B24" s="16" t="s">
        <v>8</v>
      </c>
      <c r="G24" s="59"/>
    </row>
    <row r="26" spans="1:15" x14ac:dyDescent="0.2">
      <c r="A26" s="20" t="s">
        <v>23</v>
      </c>
      <c r="B26" s="21">
        <f>DADOS!D21</f>
        <v>6.24</v>
      </c>
      <c r="C26" s="11" t="s">
        <v>205</v>
      </c>
    </row>
    <row r="27" spans="1:15" x14ac:dyDescent="0.2">
      <c r="A27" s="20" t="s">
        <v>570</v>
      </c>
      <c r="B27" s="21">
        <f>G29*26.08</f>
        <v>9440.9599999999991</v>
      </c>
      <c r="C27" s="11" t="s">
        <v>207</v>
      </c>
      <c r="G27" s="11">
        <v>90.5</v>
      </c>
      <c r="I27" s="67"/>
      <c r="K27" s="59"/>
    </row>
    <row r="28" spans="1:15" x14ac:dyDescent="0.2">
      <c r="A28" s="20" t="s">
        <v>24</v>
      </c>
      <c r="B28" s="21">
        <v>2.5</v>
      </c>
      <c r="C28" s="11" t="s">
        <v>206</v>
      </c>
      <c r="G28" s="59">
        <v>4</v>
      </c>
      <c r="K28" s="59"/>
      <c r="L28" s="59"/>
    </row>
    <row r="29" spans="1:15" x14ac:dyDescent="0.2">
      <c r="A29" s="22" t="s">
        <v>25</v>
      </c>
      <c r="B29" s="21">
        <f>+(B27/B28)*B26</f>
        <v>23564.636159999998</v>
      </c>
      <c r="C29" s="11" t="s">
        <v>130</v>
      </c>
      <c r="E29" s="24"/>
      <c r="G29" s="67">
        <f>G27*G28</f>
        <v>362</v>
      </c>
      <c r="K29" s="59"/>
    </row>
    <row r="30" spans="1:15" x14ac:dyDescent="0.2">
      <c r="A30" s="20"/>
      <c r="B30" s="21"/>
      <c r="K30" s="59"/>
    </row>
    <row r="31" spans="1:15" x14ac:dyDescent="0.2">
      <c r="A31" s="18" t="s">
        <v>26</v>
      </c>
      <c r="B31" s="16" t="s">
        <v>8</v>
      </c>
      <c r="K31" s="59"/>
    </row>
    <row r="32" spans="1:15" x14ac:dyDescent="0.2">
      <c r="K32" s="59"/>
    </row>
    <row r="33" spans="1:7" x14ac:dyDescent="0.2">
      <c r="A33" s="20" t="s">
        <v>94</v>
      </c>
      <c r="B33" s="21">
        <f>'BASCULANTE 6'!B33</f>
        <v>17849.400000000001</v>
      </c>
      <c r="C33" s="11" t="s">
        <v>37</v>
      </c>
    </row>
    <row r="34" spans="1:7" x14ac:dyDescent="0.2">
      <c r="A34" s="20" t="s">
        <v>27</v>
      </c>
      <c r="B34" s="21">
        <v>50000</v>
      </c>
      <c r="C34" s="11" t="s">
        <v>45</v>
      </c>
    </row>
    <row r="35" spans="1:7" x14ac:dyDescent="0.2">
      <c r="A35" s="20" t="s">
        <v>458</v>
      </c>
      <c r="B35" s="21">
        <f>B27</f>
        <v>9440.9599999999991</v>
      </c>
      <c r="C35" s="11" t="s">
        <v>207</v>
      </c>
    </row>
    <row r="36" spans="1:7" x14ac:dyDescent="0.2">
      <c r="A36" s="20" t="s">
        <v>28</v>
      </c>
      <c r="B36" s="21">
        <f>+(B33*B35)/B34</f>
        <v>3370.30942848</v>
      </c>
      <c r="C36" s="11" t="s">
        <v>130</v>
      </c>
      <c r="E36" s="24"/>
      <c r="G36" s="21"/>
    </row>
    <row r="37" spans="1:7" x14ac:dyDescent="0.2">
      <c r="A37" s="20"/>
      <c r="B37" s="21"/>
    </row>
    <row r="38" spans="1:7" x14ac:dyDescent="0.2">
      <c r="A38" s="20" t="s">
        <v>29</v>
      </c>
    </row>
    <row r="39" spans="1:7" x14ac:dyDescent="0.2">
      <c r="A39" s="20" t="s">
        <v>7</v>
      </c>
    </row>
    <row r="40" spans="1:7" x14ac:dyDescent="0.2">
      <c r="A40" s="20" t="s">
        <v>30</v>
      </c>
      <c r="B40" s="60">
        <v>0.65</v>
      </c>
      <c r="E40" s="24"/>
    </row>
    <row r="41" spans="1:7" x14ac:dyDescent="0.2">
      <c r="A41" s="20" t="s">
        <v>554</v>
      </c>
      <c r="B41" s="24">
        <f>G14</f>
        <v>843758</v>
      </c>
      <c r="C41" s="11" t="s">
        <v>37</v>
      </c>
    </row>
    <row r="42" spans="1:7" x14ac:dyDescent="0.2">
      <c r="A42" s="20" t="s">
        <v>32</v>
      </c>
      <c r="B42" s="21">
        <v>60</v>
      </c>
      <c r="C42" s="11" t="s">
        <v>55</v>
      </c>
    </row>
    <row r="43" spans="1:7" x14ac:dyDescent="0.2">
      <c r="A43" s="20" t="s">
        <v>33</v>
      </c>
      <c r="B43" s="21">
        <f>+(B40*B41)/B42</f>
        <v>9140.711666666668</v>
      </c>
      <c r="C43" s="11" t="s">
        <v>130</v>
      </c>
    </row>
    <row r="45" spans="1:7" x14ac:dyDescent="0.2">
      <c r="A45" s="22" t="s">
        <v>74</v>
      </c>
      <c r="B45" s="21"/>
    </row>
    <row r="46" spans="1:7" x14ac:dyDescent="0.2">
      <c r="A46" s="20"/>
      <c r="B46" s="21"/>
    </row>
    <row r="47" spans="1:7" x14ac:dyDescent="0.2">
      <c r="A47" s="22" t="s">
        <v>179</v>
      </c>
      <c r="B47" s="21">
        <f>LUBRIF!G7*((LUBRIF!G4/LUBRIF!G8)+(((1/1000)/1000)))*B27</f>
        <v>548.99605355007986</v>
      </c>
      <c r="C47" s="11" t="s">
        <v>130</v>
      </c>
      <c r="G47" s="67"/>
    </row>
    <row r="48" spans="1:7" x14ac:dyDescent="0.2">
      <c r="A48" s="22" t="s">
        <v>800</v>
      </c>
      <c r="B48" s="21">
        <f>(LUBRIF!G17+LUBRIF!G23)*B27</f>
        <v>491.68991727999997</v>
      </c>
      <c r="C48" s="11" t="s">
        <v>130</v>
      </c>
    </row>
    <row r="49" spans="1:7" x14ac:dyDescent="0.2">
      <c r="A49" s="22" t="s">
        <v>801</v>
      </c>
      <c r="B49" s="21">
        <f>LUBRIF!J36*(8*26.08)</f>
        <v>469.79546074074074</v>
      </c>
      <c r="C49" s="11" t="s">
        <v>130</v>
      </c>
    </row>
    <row r="50" spans="1:7" x14ac:dyDescent="0.2">
      <c r="A50" s="22" t="s">
        <v>802</v>
      </c>
      <c r="B50" s="21">
        <f>0.0015*B27</f>
        <v>14.161439999999999</v>
      </c>
      <c r="C50" s="11" t="s">
        <v>130</v>
      </c>
    </row>
    <row r="51" spans="1:7" x14ac:dyDescent="0.2">
      <c r="A51" s="22" t="s">
        <v>803</v>
      </c>
      <c r="B51" s="21">
        <f>LUBRIF!G28*B27</f>
        <v>905.62408800000003</v>
      </c>
      <c r="C51" s="11" t="s">
        <v>130</v>
      </c>
    </row>
    <row r="52" spans="1:7" x14ac:dyDescent="0.2">
      <c r="A52" s="22" t="s">
        <v>804</v>
      </c>
      <c r="B52" s="21">
        <f>15*40</f>
        <v>600</v>
      </c>
      <c r="C52" s="11" t="s">
        <v>130</v>
      </c>
    </row>
    <row r="53" spans="1:7" x14ac:dyDescent="0.2">
      <c r="A53" s="22" t="s">
        <v>805</v>
      </c>
      <c r="B53" s="21">
        <f>0.03*B29</f>
        <v>706.93908479999993</v>
      </c>
      <c r="C53" s="11" t="s">
        <v>130</v>
      </c>
    </row>
    <row r="54" spans="1:7" x14ac:dyDescent="0.2">
      <c r="A54" s="22" t="s">
        <v>806</v>
      </c>
      <c r="B54" s="64">
        <f>+B47+B48+B49+B50+B51+B52+B53</f>
        <v>3737.2060443708206</v>
      </c>
      <c r="C54" s="11" t="s">
        <v>130</v>
      </c>
    </row>
    <row r="55" spans="1:7" x14ac:dyDescent="0.2">
      <c r="A55" s="22"/>
      <c r="B55" s="21"/>
      <c r="G55" s="67"/>
    </row>
    <row r="56" spans="1:7" x14ac:dyDescent="0.2">
      <c r="A56" s="22" t="s">
        <v>81</v>
      </c>
      <c r="B56" s="21"/>
    </row>
    <row r="57" spans="1:7" x14ac:dyDescent="0.2">
      <c r="A57" s="22"/>
      <c r="B57" s="21"/>
    </row>
    <row r="58" spans="1:7" x14ac:dyDescent="0.2">
      <c r="A58" s="22" t="s">
        <v>151</v>
      </c>
      <c r="B58" s="21">
        <f>(+B12*3%)/12</f>
        <v>2109.395</v>
      </c>
      <c r="C58" s="11" t="s">
        <v>130</v>
      </c>
    </row>
    <row r="59" spans="1:7" x14ac:dyDescent="0.2">
      <c r="A59" s="22" t="s">
        <v>541</v>
      </c>
      <c r="B59" s="21">
        <f>(213.84+(+G12*1%))/12</f>
        <v>482.97666666666669</v>
      </c>
      <c r="C59" s="11" t="s">
        <v>130</v>
      </c>
    </row>
    <row r="60" spans="1:7" x14ac:dyDescent="0.2">
      <c r="A60" s="11" t="s">
        <v>82</v>
      </c>
      <c r="B60" s="33">
        <f>+B58+B59</f>
        <v>2592.3716666666669</v>
      </c>
      <c r="C60" s="11" t="s">
        <v>130</v>
      </c>
    </row>
    <row r="62" spans="1:7" x14ac:dyDescent="0.2">
      <c r="A62" s="25" t="s">
        <v>83</v>
      </c>
      <c r="B62" s="26">
        <f>B60+(B54-B51)+B43+B36+B29+B22+B16</f>
        <v>60765.418544850821</v>
      </c>
      <c r="C62" s="29" t="s">
        <v>130</v>
      </c>
      <c r="E62" s="67"/>
    </row>
    <row r="64" spans="1:7" hidden="1" x14ac:dyDescent="0.2">
      <c r="A64" s="25" t="s">
        <v>420</v>
      </c>
      <c r="B64" s="171">
        <f>(B29+B36+B54)-B51</f>
        <v>29766.527544850818</v>
      </c>
      <c r="C64" s="25" t="s">
        <v>130</v>
      </c>
    </row>
    <row r="66" spans="2:2" x14ac:dyDescent="0.2">
      <c r="B66" s="67"/>
    </row>
  </sheetData>
  <mergeCells count="4">
    <mergeCell ref="A1:B1"/>
    <mergeCell ref="A2:B2"/>
    <mergeCell ref="A6:B6"/>
    <mergeCell ref="A8:B8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B195-7BB1-4B5F-821C-B30BE544E084}">
  <dimension ref="A1:O64"/>
  <sheetViews>
    <sheetView view="pageBreakPreview" topLeftCell="A5" zoomScaleNormal="100" zoomScaleSheetLayoutView="100" workbookViewId="0">
      <selection activeCell="G14" sqref="G14"/>
    </sheetView>
  </sheetViews>
  <sheetFormatPr defaultColWidth="12" defaultRowHeight="12.75" x14ac:dyDescent="0.2"/>
  <cols>
    <col min="1" max="1" width="60.83203125" style="11" customWidth="1"/>
    <col min="2" max="2" width="18.83203125" style="11" customWidth="1"/>
    <col min="3" max="3" width="10.1640625" style="11" customWidth="1"/>
    <col min="4" max="4" width="12" style="11"/>
    <col min="5" max="5" width="16.33203125" style="11" customWidth="1"/>
    <col min="6" max="6" width="15.1640625" style="11" customWidth="1"/>
    <col min="7" max="7" width="14" style="59" customWidth="1"/>
    <col min="8" max="16384" width="12" style="11"/>
  </cols>
  <sheetData>
    <row r="1" spans="1:15" ht="18.75" hidden="1" x14ac:dyDescent="0.3">
      <c r="A1" s="335" t="s">
        <v>215</v>
      </c>
      <c r="B1" s="335"/>
      <c r="C1" s="9"/>
      <c r="D1" s="9"/>
      <c r="E1" s="9"/>
      <c r="F1" s="10"/>
    </row>
    <row r="2" spans="1:15" ht="18" hidden="1" customHeight="1" x14ac:dyDescent="0.25">
      <c r="A2" s="335"/>
      <c r="B2" s="335"/>
      <c r="C2" s="9"/>
      <c r="D2" s="9"/>
      <c r="E2" s="9"/>
      <c r="F2" s="12"/>
    </row>
    <row r="3" spans="1:15" hidden="1" x14ac:dyDescent="0.2">
      <c r="A3" s="13"/>
      <c r="B3" s="13"/>
      <c r="C3" s="13"/>
      <c r="D3" s="13"/>
      <c r="E3" s="13"/>
      <c r="F3" s="13"/>
    </row>
    <row r="4" spans="1:15" hidden="1" x14ac:dyDescent="0.2">
      <c r="A4" s="14" t="s">
        <v>217</v>
      </c>
      <c r="B4" s="14" t="s">
        <v>211</v>
      </c>
      <c r="C4" s="13"/>
      <c r="E4" s="13"/>
      <c r="F4" s="13"/>
    </row>
    <row r="5" spans="1:15" x14ac:dyDescent="0.2">
      <c r="A5" s="12"/>
      <c r="B5" s="13"/>
      <c r="C5" s="13"/>
      <c r="D5" s="13"/>
      <c r="E5" s="13"/>
    </row>
    <row r="6" spans="1:15" x14ac:dyDescent="0.2">
      <c r="A6" s="336" t="s">
        <v>0</v>
      </c>
      <c r="B6" s="336"/>
      <c r="C6" s="15"/>
      <c r="D6" s="15"/>
      <c r="E6" s="15"/>
    </row>
    <row r="7" spans="1:15" x14ac:dyDescent="0.2">
      <c r="A7" s="16"/>
      <c r="B7" s="16"/>
    </row>
    <row r="8" spans="1:15" ht="15" x14ac:dyDescent="0.2">
      <c r="A8" s="337" t="s">
        <v>641</v>
      </c>
      <c r="B8" s="337"/>
    </row>
    <row r="10" spans="1:15" x14ac:dyDescent="0.2">
      <c r="A10" s="34" t="s">
        <v>15</v>
      </c>
    </row>
    <row r="12" spans="1:15" x14ac:dyDescent="0.2">
      <c r="A12" s="20" t="s">
        <v>152</v>
      </c>
      <c r="B12" s="21">
        <f>G14</f>
        <v>757708</v>
      </c>
      <c r="C12" s="11" t="s">
        <v>37</v>
      </c>
      <c r="E12" s="1" t="s">
        <v>714</v>
      </c>
      <c r="F12" s="1" t="s">
        <v>225</v>
      </c>
      <c r="G12" s="65">
        <v>510242</v>
      </c>
      <c r="I12" t="s">
        <v>522</v>
      </c>
      <c r="J12" t="s">
        <v>523</v>
      </c>
      <c r="K12" s="185" t="s">
        <v>524</v>
      </c>
      <c r="L12" t="s">
        <v>525</v>
      </c>
      <c r="M12" t="s">
        <v>526</v>
      </c>
    </row>
    <row r="13" spans="1:15" x14ac:dyDescent="0.2">
      <c r="A13" s="20" t="s">
        <v>16</v>
      </c>
      <c r="B13" s="21">
        <v>60</v>
      </c>
      <c r="C13" s="11" t="s">
        <v>55</v>
      </c>
      <c r="F13" s="11" t="s">
        <v>227</v>
      </c>
      <c r="G13" s="59">
        <f>'comp 8'!G13</f>
        <v>247466</v>
      </c>
      <c r="I13">
        <v>1</v>
      </c>
      <c r="J13" s="185">
        <f>$G$14</f>
        <v>757708</v>
      </c>
      <c r="K13" s="185">
        <f>SLN($G$14,$B$15,$G$15)</f>
        <v>121233.28</v>
      </c>
      <c r="L13" s="185">
        <f>K13</f>
        <v>121233.28</v>
      </c>
      <c r="M13" s="185">
        <f>J13-L13</f>
        <v>636474.72</v>
      </c>
      <c r="O13" s="59">
        <f>(G19/G14)*100</f>
        <v>0</v>
      </c>
    </row>
    <row r="14" spans="1:15" x14ac:dyDescent="0.2">
      <c r="A14" s="20" t="s">
        <v>17</v>
      </c>
      <c r="B14" s="60">
        <v>0.2</v>
      </c>
      <c r="G14" s="59">
        <f>SUM(G12:G13)</f>
        <v>757708</v>
      </c>
      <c r="I14">
        <v>2</v>
      </c>
      <c r="J14" s="185">
        <f>$G$14</f>
        <v>757708</v>
      </c>
      <c r="K14" s="185">
        <f>SLN($G$14,$B$15,$G$15)</f>
        <v>121233.28</v>
      </c>
      <c r="L14" s="185">
        <f>K14+L13</f>
        <v>242466.56</v>
      </c>
      <c r="M14" s="185">
        <f>J14-L14</f>
        <v>515241.44</v>
      </c>
      <c r="O14" s="59">
        <f>($G$19/M13)*100</f>
        <v>0</v>
      </c>
    </row>
    <row r="15" spans="1:15" x14ac:dyDescent="0.2">
      <c r="A15" s="20" t="s">
        <v>224</v>
      </c>
      <c r="B15" s="23">
        <f>G14*B14</f>
        <v>151541.6</v>
      </c>
      <c r="G15" s="11">
        <v>5</v>
      </c>
      <c r="I15">
        <v>3</v>
      </c>
      <c r="J15" s="185">
        <f>$G$14</f>
        <v>757708</v>
      </c>
      <c r="K15" s="185">
        <f>SLN($G$14,$B$15,$G$15)</f>
        <v>121233.28</v>
      </c>
      <c r="L15" s="185">
        <f>K15+L14</f>
        <v>363699.83999999997</v>
      </c>
      <c r="M15" s="185">
        <f>J15-L15</f>
        <v>394008.16000000003</v>
      </c>
      <c r="O15" s="59">
        <f>($G$19/M14)*100</f>
        <v>0</v>
      </c>
    </row>
    <row r="16" spans="1:15" x14ac:dyDescent="0.2">
      <c r="A16" s="11" t="s">
        <v>223</v>
      </c>
      <c r="B16" s="21">
        <f>(B12-B15)/B13</f>
        <v>10102.773333333334</v>
      </c>
      <c r="C16" s="11" t="s">
        <v>130</v>
      </c>
      <c r="I16">
        <v>4</v>
      </c>
      <c r="J16" s="185">
        <f>$G$14</f>
        <v>757708</v>
      </c>
      <c r="K16" s="185">
        <f>SLN($G$14,$B$15,$G$15)</f>
        <v>121233.28</v>
      </c>
      <c r="L16" s="185">
        <f>K16+L15</f>
        <v>484933.12</v>
      </c>
      <c r="M16" s="185">
        <f>J16-L16</f>
        <v>272774.88</v>
      </c>
      <c r="O16" s="59">
        <f>($G$19/M15)*100</f>
        <v>0</v>
      </c>
    </row>
    <row r="17" spans="1:15" x14ac:dyDescent="0.2">
      <c r="I17">
        <v>5</v>
      </c>
      <c r="J17" s="185">
        <f>$G$14</f>
        <v>757708</v>
      </c>
      <c r="K17" s="185">
        <f>SLN($G$14,$B$15,$G$15)</f>
        <v>121233.28</v>
      </c>
      <c r="L17" s="185">
        <f>K17+L16</f>
        <v>606166.4</v>
      </c>
      <c r="M17" s="185">
        <f>J17-L17</f>
        <v>151541.59999999998</v>
      </c>
      <c r="O17" s="59">
        <f>($G$19/M16)*100</f>
        <v>0</v>
      </c>
    </row>
    <row r="18" spans="1:15" x14ac:dyDescent="0.2">
      <c r="A18" s="19" t="s">
        <v>18</v>
      </c>
      <c r="O18" s="59">
        <f>($G$19/M17)*100</f>
        <v>0</v>
      </c>
    </row>
    <row r="20" spans="1:15" x14ac:dyDescent="0.2">
      <c r="A20" s="61" t="s">
        <v>19</v>
      </c>
      <c r="B20" s="16">
        <f>+B12</f>
        <v>757708</v>
      </c>
      <c r="C20" s="11" t="s">
        <v>37</v>
      </c>
      <c r="E20" s="67"/>
    </row>
    <row r="21" spans="1:15" x14ac:dyDescent="0.2">
      <c r="A21" s="61" t="s">
        <v>539</v>
      </c>
      <c r="B21" s="187">
        <f>'BASCULANTE 6'!B21</f>
        <v>0.14249999999999999</v>
      </c>
    </row>
    <row r="22" spans="1:15" x14ac:dyDescent="0.2">
      <c r="A22" s="61" t="s">
        <v>21</v>
      </c>
      <c r="B22" s="16">
        <f>((B12-B15)*B21)/12</f>
        <v>7198.2259999999997</v>
      </c>
      <c r="C22" s="11" t="s">
        <v>130</v>
      </c>
    </row>
    <row r="23" spans="1:15" x14ac:dyDescent="0.2">
      <c r="A23" s="16" t="s">
        <v>8</v>
      </c>
      <c r="B23" s="16" t="s">
        <v>8</v>
      </c>
    </row>
    <row r="24" spans="1:15" x14ac:dyDescent="0.2">
      <c r="A24" s="18" t="s">
        <v>22</v>
      </c>
      <c r="B24" s="16" t="s">
        <v>8</v>
      </c>
    </row>
    <row r="26" spans="1:15" x14ac:dyDescent="0.2">
      <c r="A26" s="20" t="s">
        <v>23</v>
      </c>
      <c r="B26" s="21">
        <f>DADOS!D21</f>
        <v>6.24</v>
      </c>
      <c r="C26" s="11" t="s">
        <v>205</v>
      </c>
    </row>
    <row r="27" spans="1:15" x14ac:dyDescent="0.2">
      <c r="A27" s="20" t="s">
        <v>570</v>
      </c>
      <c r="B27" s="21">
        <f>E29*26.08</f>
        <v>7080.7199999999993</v>
      </c>
      <c r="C27" s="11" t="s">
        <v>207</v>
      </c>
      <c r="E27" s="11">
        <v>90.5</v>
      </c>
      <c r="I27" s="67"/>
      <c r="K27" s="59"/>
    </row>
    <row r="28" spans="1:15" x14ac:dyDescent="0.2">
      <c r="A28" s="20" t="s">
        <v>24</v>
      </c>
      <c r="B28" s="21">
        <v>3</v>
      </c>
      <c r="C28" s="11" t="s">
        <v>206</v>
      </c>
      <c r="E28" s="59">
        <v>3</v>
      </c>
      <c r="K28" s="59"/>
      <c r="L28" s="59"/>
    </row>
    <row r="29" spans="1:15" x14ac:dyDescent="0.2">
      <c r="A29" s="22" t="s">
        <v>25</v>
      </c>
      <c r="B29" s="21">
        <f>+(B27/B28)*B26</f>
        <v>14727.897599999998</v>
      </c>
      <c r="C29" s="11" t="s">
        <v>130</v>
      </c>
      <c r="E29" s="67">
        <f>E27*E28</f>
        <v>271.5</v>
      </c>
      <c r="K29" s="59"/>
    </row>
    <row r="30" spans="1:15" x14ac:dyDescent="0.2">
      <c r="A30" s="20"/>
      <c r="B30" s="21"/>
      <c r="K30" s="59"/>
    </row>
    <row r="31" spans="1:15" x14ac:dyDescent="0.2">
      <c r="A31" s="18" t="s">
        <v>26</v>
      </c>
      <c r="B31" s="16" t="s">
        <v>8</v>
      </c>
      <c r="K31" s="59"/>
    </row>
    <row r="32" spans="1:15" x14ac:dyDescent="0.2">
      <c r="K32" s="59"/>
    </row>
    <row r="33" spans="1:7" x14ac:dyDescent="0.2">
      <c r="A33" s="20" t="s">
        <v>94</v>
      </c>
      <c r="B33" s="21">
        <f>'BASCULANTE 6'!B33</f>
        <v>17849.400000000001</v>
      </c>
      <c r="C33" s="11" t="s">
        <v>37</v>
      </c>
    </row>
    <row r="34" spans="1:7" x14ac:dyDescent="0.2">
      <c r="A34" s="20" t="s">
        <v>27</v>
      </c>
      <c r="B34" s="21">
        <v>50000</v>
      </c>
      <c r="C34" s="11" t="s">
        <v>45</v>
      </c>
    </row>
    <row r="35" spans="1:7" x14ac:dyDescent="0.2">
      <c r="A35" s="20" t="s">
        <v>458</v>
      </c>
      <c r="B35" s="21">
        <f>B27</f>
        <v>7080.7199999999993</v>
      </c>
      <c r="C35" s="11" t="s">
        <v>207</v>
      </c>
    </row>
    <row r="36" spans="1:7" x14ac:dyDescent="0.2">
      <c r="A36" s="20" t="s">
        <v>28</v>
      </c>
      <c r="B36" s="21">
        <f>+(B33*B35)/B34</f>
        <v>2527.7320713600002</v>
      </c>
      <c r="C36" s="11" t="s">
        <v>130</v>
      </c>
      <c r="E36" s="24"/>
      <c r="G36" s="233"/>
    </row>
    <row r="37" spans="1:7" x14ac:dyDescent="0.2">
      <c r="A37" s="20"/>
      <c r="B37" s="21"/>
    </row>
    <row r="38" spans="1:7" x14ac:dyDescent="0.2">
      <c r="A38" s="20" t="s">
        <v>29</v>
      </c>
    </row>
    <row r="39" spans="1:7" x14ac:dyDescent="0.2">
      <c r="A39" s="20" t="s">
        <v>7</v>
      </c>
    </row>
    <row r="40" spans="1:7" x14ac:dyDescent="0.2">
      <c r="A40" s="20" t="s">
        <v>30</v>
      </c>
      <c r="B40" s="60">
        <v>0.65</v>
      </c>
      <c r="E40" s="24"/>
    </row>
    <row r="41" spans="1:7" x14ac:dyDescent="0.2">
      <c r="A41" s="20" t="s">
        <v>554</v>
      </c>
      <c r="B41" s="24">
        <f>G14</f>
        <v>757708</v>
      </c>
      <c r="C41" s="11" t="s">
        <v>37</v>
      </c>
    </row>
    <row r="42" spans="1:7" x14ac:dyDescent="0.2">
      <c r="A42" s="20" t="s">
        <v>32</v>
      </c>
      <c r="B42" s="21">
        <v>60</v>
      </c>
      <c r="C42" s="11" t="s">
        <v>55</v>
      </c>
    </row>
    <row r="43" spans="1:7" x14ac:dyDescent="0.2">
      <c r="A43" s="20" t="s">
        <v>33</v>
      </c>
      <c r="B43" s="21">
        <f>+(B40*B41)/B42</f>
        <v>8208.503333333334</v>
      </c>
      <c r="C43" s="11" t="s">
        <v>130</v>
      </c>
    </row>
    <row r="45" spans="1:7" x14ac:dyDescent="0.2">
      <c r="A45" s="22" t="s">
        <v>74</v>
      </c>
      <c r="B45" s="21"/>
    </row>
    <row r="46" spans="1:7" x14ac:dyDescent="0.2">
      <c r="A46" s="20"/>
      <c r="B46" s="21"/>
    </row>
    <row r="47" spans="1:7" x14ac:dyDescent="0.2">
      <c r="A47" s="22" t="s">
        <v>179</v>
      </c>
      <c r="B47" s="21">
        <f>LUBRIF!E7*((LUBRIF!E4/LUBRIF!E8)+(((1/1000)/1000)))*B27</f>
        <v>247.16791800455997</v>
      </c>
      <c r="C47" s="11" t="s">
        <v>130</v>
      </c>
    </row>
    <row r="48" spans="1:7" x14ac:dyDescent="0.2">
      <c r="A48" s="22" t="s">
        <v>800</v>
      </c>
      <c r="B48" s="21">
        <f>(LUBRIF!E17+LUBRIF!E23)*B27</f>
        <v>262.12046560800002</v>
      </c>
      <c r="C48" s="11" t="s">
        <v>130</v>
      </c>
    </row>
    <row r="49" spans="1:5" x14ac:dyDescent="0.2">
      <c r="A49" s="22" t="s">
        <v>801</v>
      </c>
      <c r="B49" s="21">
        <f>LUBRIF!I36*(8*26.08)</f>
        <v>328.85682251851847</v>
      </c>
      <c r="C49" s="11" t="s">
        <v>130</v>
      </c>
    </row>
    <row r="50" spans="1:5" x14ac:dyDescent="0.2">
      <c r="A50" s="22" t="s">
        <v>802</v>
      </c>
      <c r="B50" s="21">
        <f>0.0015*B27</f>
        <v>10.621079999999999</v>
      </c>
      <c r="C50" s="11" t="s">
        <v>130</v>
      </c>
    </row>
    <row r="51" spans="1:5" x14ac:dyDescent="0.2">
      <c r="A51" s="22" t="s">
        <v>803</v>
      </c>
      <c r="B51" s="21">
        <f>LUBRIF!E28*B27</f>
        <v>679.21806600000002</v>
      </c>
      <c r="C51" s="11" t="s">
        <v>130</v>
      </c>
    </row>
    <row r="52" spans="1:5" x14ac:dyDescent="0.2">
      <c r="A52" s="22" t="s">
        <v>804</v>
      </c>
      <c r="B52" s="21">
        <f>15*40</f>
        <v>600</v>
      </c>
      <c r="C52" s="11" t="s">
        <v>130</v>
      </c>
    </row>
    <row r="53" spans="1:5" x14ac:dyDescent="0.2">
      <c r="A53" s="22" t="s">
        <v>805</v>
      </c>
      <c r="B53" s="21">
        <f>0.03*B29</f>
        <v>441.83692799999994</v>
      </c>
      <c r="C53" s="11" t="s">
        <v>130</v>
      </c>
    </row>
    <row r="54" spans="1:5" x14ac:dyDescent="0.2">
      <c r="A54" s="22" t="s">
        <v>806</v>
      </c>
      <c r="B54" s="64">
        <f>+B47+B48+B49+B50+B51+B52</f>
        <v>2127.9843521310786</v>
      </c>
      <c r="C54" s="11" t="s">
        <v>130</v>
      </c>
    </row>
    <row r="55" spans="1:5" x14ac:dyDescent="0.2">
      <c r="A55" s="22"/>
      <c r="B55" s="21"/>
    </row>
    <row r="56" spans="1:5" x14ac:dyDescent="0.2">
      <c r="A56" s="22" t="s">
        <v>81</v>
      </c>
      <c r="B56" s="21"/>
    </row>
    <row r="57" spans="1:5" x14ac:dyDescent="0.2">
      <c r="A57" s="22"/>
      <c r="B57" s="21"/>
    </row>
    <row r="58" spans="1:5" x14ac:dyDescent="0.2">
      <c r="A58" s="22" t="s">
        <v>151</v>
      </c>
      <c r="B58" s="21">
        <f>(+B12*3%)/12</f>
        <v>1894.2699999999998</v>
      </c>
      <c r="C58" s="11" t="s">
        <v>130</v>
      </c>
    </row>
    <row r="59" spans="1:5" x14ac:dyDescent="0.2">
      <c r="A59" s="22" t="s">
        <v>541</v>
      </c>
      <c r="B59" s="21">
        <f>(213.84+(+G12*1%))/12</f>
        <v>443.0216666666667</v>
      </c>
      <c r="C59" s="11" t="s">
        <v>130</v>
      </c>
    </row>
    <row r="60" spans="1:5" x14ac:dyDescent="0.2">
      <c r="A60" s="11" t="s">
        <v>82</v>
      </c>
      <c r="B60" s="33">
        <f>+B58+B59</f>
        <v>2337.2916666666665</v>
      </c>
      <c r="C60" s="11" t="s">
        <v>130</v>
      </c>
    </row>
    <row r="62" spans="1:5" x14ac:dyDescent="0.2">
      <c r="A62" s="25" t="s">
        <v>83</v>
      </c>
      <c r="B62" s="26">
        <f>B60+B54+B43+B36+B29+B22+B16</f>
        <v>47230.40835682441</v>
      </c>
      <c r="C62" s="29" t="s">
        <v>130</v>
      </c>
      <c r="E62" s="24"/>
    </row>
    <row r="64" spans="1:5" hidden="1" x14ac:dyDescent="0.2">
      <c r="A64" s="25" t="s">
        <v>420</v>
      </c>
      <c r="B64" s="171">
        <f>(B29+B36+B54)-B51</f>
        <v>18704.395957491077</v>
      </c>
      <c r="C64" s="25" t="s">
        <v>130</v>
      </c>
    </row>
  </sheetData>
  <mergeCells count="4">
    <mergeCell ref="A1:B1"/>
    <mergeCell ref="A2:B2"/>
    <mergeCell ref="A6:B6"/>
    <mergeCell ref="A8:B8"/>
  </mergeCells>
  <printOptions horizontalCentered="1"/>
  <pageMargins left="0.78740157480314965" right="0.78740157480314965" top="0.98425196850393704" bottom="0.98425196850393704" header="0.31496062992125984" footer="0.27559055118110237"/>
  <pageSetup paperSize="9" scale="80" orientation="portrait" r:id="rId1"/>
  <headerFooter>
    <oddHeader>&amp;L&amp;G</oddHeader>
    <oddFooter>&amp;C&amp;"Calibri,Regular"&amp;8CNPJ: 41.244.542/0001-97
Cabo Corporate Center – Torre Aníbal Cardoso 
Rua Cento e Sessenta e Três, 226 – sala 405  -  Cabo de Santo Agostinho– PE  - CEP:  54518-430  
Tel.: (81) 3076-0018  / e-mail: nrjambiental05@gmail.com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D001-D70E-428F-9223-30843377094F}">
  <dimension ref="A1:V34"/>
  <sheetViews>
    <sheetView view="pageBreakPreview" zoomScaleNormal="100" zoomScaleSheetLayoutView="100" workbookViewId="0">
      <selection activeCell="M10" sqref="M10"/>
    </sheetView>
  </sheetViews>
  <sheetFormatPr defaultColWidth="9.33203125" defaultRowHeight="20.25" customHeight="1" x14ac:dyDescent="0.2"/>
  <cols>
    <col min="1" max="1" width="30" style="317" customWidth="1"/>
    <col min="2" max="2" width="10.1640625" style="214" customWidth="1"/>
    <col min="3" max="3" width="35.83203125" style="214" customWidth="1"/>
    <col min="4" max="4" width="18.33203125" style="158" customWidth="1"/>
    <col min="5" max="5" width="18.33203125" style="158" hidden="1" customWidth="1"/>
    <col min="6" max="7" width="0" style="214" hidden="1" customWidth="1"/>
    <col min="8" max="9" width="14.83203125" style="158" hidden="1" customWidth="1"/>
    <col min="10" max="10" width="7.83203125" style="158" customWidth="1"/>
    <col min="11" max="12" width="10.1640625" style="158" customWidth="1"/>
    <col min="13" max="13" width="12.33203125" style="158" customWidth="1"/>
    <col min="14" max="14" width="7.83203125" style="158" customWidth="1"/>
    <col min="15" max="19" width="12.33203125" style="214" customWidth="1"/>
    <col min="20" max="20" width="14.83203125" style="214" customWidth="1"/>
    <col min="21" max="16384" width="9.33203125" style="214"/>
  </cols>
  <sheetData>
    <row r="1" spans="1:20" s="11" customFormat="1" ht="12.75" x14ac:dyDescent="0.2">
      <c r="A1" s="336" t="s">
        <v>0</v>
      </c>
      <c r="B1" s="336"/>
      <c r="C1" s="336"/>
      <c r="D1" s="336"/>
      <c r="E1" s="336"/>
      <c r="F1" s="68"/>
    </row>
    <row r="2" spans="1:20" s="11" customFormat="1" ht="12.75" x14ac:dyDescent="0.2">
      <c r="A2" s="315"/>
      <c r="B2" s="16"/>
      <c r="C2" s="16"/>
      <c r="D2" s="16"/>
      <c r="E2" s="16"/>
      <c r="F2" s="16"/>
      <c r="G2" s="16"/>
    </row>
    <row r="3" spans="1:20" s="11" customFormat="1" ht="12.75" x14ac:dyDescent="0.2">
      <c r="A3" s="316" t="s">
        <v>574</v>
      </c>
      <c r="B3" s="69"/>
      <c r="C3" s="69"/>
      <c r="D3" s="18"/>
      <c r="E3" s="18"/>
      <c r="F3" s="18"/>
      <c r="G3" s="18"/>
    </row>
    <row r="5" spans="1:20" s="211" customFormat="1" ht="12.75" x14ac:dyDescent="0.2">
      <c r="A5" s="342" t="s">
        <v>575</v>
      </c>
      <c r="B5" s="344" t="s">
        <v>405</v>
      </c>
      <c r="C5" s="344"/>
      <c r="D5" s="209" t="s">
        <v>576</v>
      </c>
      <c r="E5" s="210"/>
      <c r="H5" s="212"/>
      <c r="I5" s="212"/>
      <c r="J5" s="212"/>
      <c r="K5" s="212"/>
      <c r="L5" s="212"/>
      <c r="M5" s="212" t="s">
        <v>640</v>
      </c>
      <c r="N5" s="212"/>
    </row>
    <row r="6" spans="1:20" s="211" customFormat="1" ht="12.75" x14ac:dyDescent="0.2">
      <c r="A6" s="343"/>
      <c r="B6" s="345"/>
      <c r="C6" s="345"/>
      <c r="D6" s="209" t="s">
        <v>577</v>
      </c>
      <c r="E6" s="209" t="s">
        <v>578</v>
      </c>
      <c r="H6" s="212"/>
      <c r="I6" s="212"/>
      <c r="J6" s="212"/>
      <c r="K6" s="212"/>
      <c r="L6" s="212"/>
      <c r="M6" s="294" t="s">
        <v>812</v>
      </c>
      <c r="N6" s="212"/>
    </row>
    <row r="7" spans="1:20" ht="12.75" x14ac:dyDescent="0.2">
      <c r="A7" s="220" t="s">
        <v>579</v>
      </c>
      <c r="B7" s="213"/>
      <c r="C7" s="213" t="s">
        <v>580</v>
      </c>
      <c r="D7" s="167"/>
      <c r="E7" s="167"/>
      <c r="M7" s="295">
        <v>6046</v>
      </c>
    </row>
    <row r="8" spans="1:20" ht="12.75" x14ac:dyDescent="0.2">
      <c r="A8" s="346" t="s">
        <v>581</v>
      </c>
      <c r="B8" s="213" t="s">
        <v>582</v>
      </c>
      <c r="C8" s="213"/>
      <c r="D8" s="167">
        <v>76</v>
      </c>
      <c r="E8" s="167">
        <f>D8</f>
        <v>76</v>
      </c>
      <c r="K8" s="338" t="s">
        <v>573</v>
      </c>
      <c r="L8" s="338"/>
      <c r="M8" s="215">
        <v>450000</v>
      </c>
      <c r="N8" s="216"/>
      <c r="O8" s="162" t="s">
        <v>522</v>
      </c>
      <c r="P8" s="162" t="s">
        <v>523</v>
      </c>
      <c r="Q8" s="209" t="s">
        <v>524</v>
      </c>
      <c r="R8" s="162" t="s">
        <v>525</v>
      </c>
      <c r="S8" s="162" t="s">
        <v>526</v>
      </c>
    </row>
    <row r="9" spans="1:20" ht="12.75" x14ac:dyDescent="0.2">
      <c r="A9" s="346"/>
      <c r="B9" s="213" t="s">
        <v>583</v>
      </c>
      <c r="C9" s="213"/>
      <c r="D9" s="167">
        <v>57</v>
      </c>
      <c r="E9" s="167">
        <f t="shared" ref="E9:E18" si="0">D9</f>
        <v>57</v>
      </c>
      <c r="K9" s="339"/>
      <c r="L9" s="340"/>
      <c r="M9" s="340"/>
      <c r="N9" s="341"/>
      <c r="O9" s="217">
        <v>1</v>
      </c>
      <c r="P9" s="167">
        <f>$M$8</f>
        <v>450000</v>
      </c>
      <c r="Q9" s="167">
        <f>SLN($M$8,$D$13,$M$12)</f>
        <v>53437.5</v>
      </c>
      <c r="R9" s="167">
        <f>Q9</f>
        <v>53437.5</v>
      </c>
      <c r="S9" s="167">
        <f>P9-R9</f>
        <v>396562.5</v>
      </c>
      <c r="T9" s="214">
        <v>1200</v>
      </c>
    </row>
    <row r="10" spans="1:20" ht="12.75" x14ac:dyDescent="0.2">
      <c r="A10" s="346" t="s">
        <v>584</v>
      </c>
      <c r="B10" s="213" t="s">
        <v>221</v>
      </c>
      <c r="C10" s="347" t="s">
        <v>585</v>
      </c>
      <c r="D10" s="168">
        <f>(D11/M8)</f>
        <v>0.40625</v>
      </c>
      <c r="E10" s="167">
        <f t="shared" si="0"/>
        <v>0.40625</v>
      </c>
      <c r="H10" s="158">
        <f>E11-E13</f>
        <v>160312.5</v>
      </c>
      <c r="K10" s="349" t="s">
        <v>586</v>
      </c>
      <c r="L10" s="350"/>
      <c r="M10" s="167">
        <v>104.17</v>
      </c>
      <c r="N10" s="218" t="s">
        <v>587</v>
      </c>
      <c r="O10" s="217">
        <v>2</v>
      </c>
      <c r="P10" s="167">
        <f t="shared" ref="P10:P16" si="1">$M$8</f>
        <v>450000</v>
      </c>
      <c r="Q10" s="167">
        <f t="shared" ref="Q10:Q16" si="2">SLN($M$8,$D$13,$M$12)</f>
        <v>53437.5</v>
      </c>
      <c r="R10" s="167">
        <f>Q10+R9</f>
        <v>106875</v>
      </c>
      <c r="S10" s="167">
        <f t="shared" ref="S10:S16" si="3">P10-R10</f>
        <v>343125</v>
      </c>
      <c r="T10" s="214">
        <v>2400</v>
      </c>
    </row>
    <row r="11" spans="1:20" ht="12.75" x14ac:dyDescent="0.2">
      <c r="A11" s="346"/>
      <c r="B11" s="213" t="s">
        <v>37</v>
      </c>
      <c r="C11" s="348"/>
      <c r="D11" s="167">
        <f>S13</f>
        <v>182812.5</v>
      </c>
      <c r="E11" s="167">
        <f t="shared" si="0"/>
        <v>182812.5</v>
      </c>
      <c r="K11" s="351"/>
      <c r="L11" s="352"/>
      <c r="M11" s="167">
        <f>M10*12</f>
        <v>1250.04</v>
      </c>
      <c r="N11" s="213" t="s">
        <v>535</v>
      </c>
      <c r="O11" s="217">
        <v>3</v>
      </c>
      <c r="P11" s="167">
        <f t="shared" si="1"/>
        <v>450000</v>
      </c>
      <c r="Q11" s="167">
        <f t="shared" si="2"/>
        <v>53437.5</v>
      </c>
      <c r="R11" s="167">
        <f t="shared" ref="R11:R16" si="4">Q11+R10</f>
        <v>160312.5</v>
      </c>
      <c r="S11" s="167">
        <f t="shared" si="3"/>
        <v>289687.5</v>
      </c>
      <c r="T11" s="214">
        <v>3600</v>
      </c>
    </row>
    <row r="12" spans="1:20" ht="12.75" x14ac:dyDescent="0.2">
      <c r="A12" s="353" t="s">
        <v>588</v>
      </c>
      <c r="B12" s="213" t="s">
        <v>221</v>
      </c>
      <c r="C12" s="213" t="s">
        <v>589</v>
      </c>
      <c r="D12" s="168">
        <v>0.05</v>
      </c>
      <c r="E12" s="167">
        <f t="shared" si="0"/>
        <v>0.05</v>
      </c>
      <c r="K12" s="355" t="s">
        <v>590</v>
      </c>
      <c r="L12" s="355"/>
      <c r="M12" s="167">
        <v>8</v>
      </c>
      <c r="N12" s="219"/>
      <c r="O12" s="217">
        <v>4</v>
      </c>
      <c r="P12" s="167">
        <f t="shared" si="1"/>
        <v>450000</v>
      </c>
      <c r="Q12" s="167">
        <f t="shared" si="2"/>
        <v>53437.5</v>
      </c>
      <c r="R12" s="167">
        <f t="shared" si="4"/>
        <v>213750</v>
      </c>
      <c r="S12" s="167">
        <f t="shared" si="3"/>
        <v>236250</v>
      </c>
      <c r="T12" s="214">
        <v>4800</v>
      </c>
    </row>
    <row r="13" spans="1:20" ht="12.75" x14ac:dyDescent="0.2">
      <c r="A13" s="354"/>
      <c r="B13" s="213" t="s">
        <v>37</v>
      </c>
      <c r="C13" s="213"/>
      <c r="D13" s="167">
        <f>M8*D12</f>
        <v>22500</v>
      </c>
      <c r="E13" s="167">
        <f t="shared" si="0"/>
        <v>22500</v>
      </c>
      <c r="K13" s="214"/>
      <c r="L13" s="214"/>
      <c r="M13" s="214"/>
      <c r="N13" s="214"/>
      <c r="O13" s="217">
        <v>5</v>
      </c>
      <c r="P13" s="167">
        <f t="shared" si="1"/>
        <v>450000</v>
      </c>
      <c r="Q13" s="167">
        <f t="shared" si="2"/>
        <v>53437.5</v>
      </c>
      <c r="R13" s="167">
        <f t="shared" si="4"/>
        <v>267187.5</v>
      </c>
      <c r="S13" s="167">
        <f t="shared" si="3"/>
        <v>182812.5</v>
      </c>
      <c r="T13" s="214">
        <v>6000</v>
      </c>
    </row>
    <row r="14" spans="1:20" ht="12.75" x14ac:dyDescent="0.2">
      <c r="A14" s="220" t="s">
        <v>591</v>
      </c>
      <c r="B14" s="213" t="s">
        <v>592</v>
      </c>
      <c r="C14" s="213" t="s">
        <v>589</v>
      </c>
      <c r="D14" s="167">
        <f>(D16*D15)</f>
        <v>10000.32</v>
      </c>
      <c r="E14" s="167">
        <f t="shared" si="0"/>
        <v>10000.32</v>
      </c>
      <c r="K14" s="214"/>
      <c r="L14" s="214"/>
      <c r="M14" s="214"/>
      <c r="N14" s="214"/>
      <c r="O14" s="217">
        <v>6</v>
      </c>
      <c r="P14" s="167">
        <f t="shared" si="1"/>
        <v>450000</v>
      </c>
      <c r="Q14" s="167">
        <f t="shared" si="2"/>
        <v>53437.5</v>
      </c>
      <c r="R14" s="167">
        <f t="shared" si="4"/>
        <v>320625</v>
      </c>
      <c r="S14" s="167">
        <f t="shared" si="3"/>
        <v>129375</v>
      </c>
      <c r="T14" s="214">
        <v>7200</v>
      </c>
    </row>
    <row r="15" spans="1:20" ht="12.75" x14ac:dyDescent="0.2">
      <c r="A15" s="220" t="s">
        <v>593</v>
      </c>
      <c r="B15" s="213" t="s">
        <v>594</v>
      </c>
      <c r="C15" s="213" t="s">
        <v>595</v>
      </c>
      <c r="D15" s="167">
        <f>M12</f>
        <v>8</v>
      </c>
      <c r="E15" s="167">
        <f t="shared" si="0"/>
        <v>8</v>
      </c>
      <c r="O15" s="217">
        <v>7</v>
      </c>
      <c r="P15" s="167">
        <f t="shared" si="1"/>
        <v>450000</v>
      </c>
      <c r="Q15" s="167">
        <f t="shared" si="2"/>
        <v>53437.5</v>
      </c>
      <c r="R15" s="167">
        <f t="shared" si="4"/>
        <v>374062.5</v>
      </c>
      <c r="S15" s="167">
        <f t="shared" si="3"/>
        <v>75937.5</v>
      </c>
      <c r="T15" s="214">
        <v>8400</v>
      </c>
    </row>
    <row r="16" spans="1:20" ht="25.5" x14ac:dyDescent="0.2">
      <c r="A16" s="220" t="s">
        <v>596</v>
      </c>
      <c r="B16" s="213" t="s">
        <v>597</v>
      </c>
      <c r="C16" s="213" t="s">
        <v>598</v>
      </c>
      <c r="D16" s="167">
        <f>M11</f>
        <v>1250.04</v>
      </c>
      <c r="E16" s="167">
        <f t="shared" si="0"/>
        <v>1250.04</v>
      </c>
      <c r="O16" s="217">
        <v>8</v>
      </c>
      <c r="P16" s="167">
        <f t="shared" si="1"/>
        <v>450000</v>
      </c>
      <c r="Q16" s="167">
        <f t="shared" si="2"/>
        <v>53437.5</v>
      </c>
      <c r="R16" s="167">
        <f t="shared" si="4"/>
        <v>427500</v>
      </c>
      <c r="S16" s="167">
        <f t="shared" si="3"/>
        <v>22500</v>
      </c>
      <c r="T16" s="214">
        <v>9600</v>
      </c>
    </row>
    <row r="17" spans="1:22" ht="12.75" x14ac:dyDescent="0.2">
      <c r="A17" s="220" t="s">
        <v>599</v>
      </c>
      <c r="B17" s="213" t="s">
        <v>600</v>
      </c>
      <c r="C17" s="213" t="s">
        <v>601</v>
      </c>
      <c r="D17" s="168">
        <v>0.14249999999999999</v>
      </c>
      <c r="E17" s="168">
        <f t="shared" si="0"/>
        <v>0.14249999999999999</v>
      </c>
      <c r="O17" s="221"/>
      <c r="P17" s="221"/>
      <c r="Q17" s="221"/>
      <c r="R17" s="221"/>
      <c r="S17" s="221"/>
      <c r="T17" s="214">
        <v>10000</v>
      </c>
      <c r="V17" s="214">
        <f>T17/8</f>
        <v>1250</v>
      </c>
    </row>
    <row r="18" spans="1:22" ht="12.75" x14ac:dyDescent="0.2">
      <c r="A18" s="220" t="s">
        <v>602</v>
      </c>
      <c r="B18" s="213"/>
      <c r="C18" s="213"/>
      <c r="D18" s="167">
        <v>1</v>
      </c>
      <c r="E18" s="167">
        <f t="shared" si="0"/>
        <v>1</v>
      </c>
      <c r="O18" s="221"/>
      <c r="P18" s="221"/>
      <c r="Q18" s="221"/>
      <c r="R18" s="221"/>
      <c r="S18" s="221"/>
      <c r="V18" s="214">
        <f>V17/12</f>
        <v>104.16666666666667</v>
      </c>
    </row>
    <row r="19" spans="1:22" s="221" customFormat="1" ht="27.2" customHeight="1" x14ac:dyDescent="0.2">
      <c r="A19" s="225" t="s">
        <v>603</v>
      </c>
      <c r="B19" s="222" t="s">
        <v>296</v>
      </c>
      <c r="C19" s="223"/>
      <c r="D19" s="210">
        <f>(D11-D13)/D14</f>
        <v>16.030737016415475</v>
      </c>
      <c r="E19" s="210">
        <f>D19</f>
        <v>16.030737016415475</v>
      </c>
      <c r="H19" s="224"/>
      <c r="I19" s="224"/>
      <c r="J19" s="224"/>
      <c r="K19" s="224"/>
      <c r="L19" s="224"/>
      <c r="M19" s="224"/>
      <c r="N19" s="224"/>
    </row>
    <row r="20" spans="1:22" s="221" customFormat="1" ht="30.75" customHeight="1" x14ac:dyDescent="0.2">
      <c r="A20" s="225" t="s">
        <v>604</v>
      </c>
      <c r="B20" s="222" t="s">
        <v>37</v>
      </c>
      <c r="C20" s="223"/>
      <c r="D20" s="210">
        <f>((D11-D13)*((D15+1)/(2*D15)))+D13</f>
        <v>112675.78125</v>
      </c>
      <c r="E20" s="210">
        <f>D20</f>
        <v>112675.78125</v>
      </c>
      <c r="H20" s="224">
        <v>28076.98</v>
      </c>
      <c r="I20" s="224" t="s">
        <v>605</v>
      </c>
      <c r="J20" s="224"/>
      <c r="K20" s="224"/>
      <c r="L20" s="224"/>
      <c r="M20" s="224"/>
      <c r="N20" s="224"/>
    </row>
    <row r="21" spans="1:22" s="221" customFormat="1" ht="38.25" x14ac:dyDescent="0.2">
      <c r="A21" s="225" t="s">
        <v>606</v>
      </c>
      <c r="B21" s="222" t="s">
        <v>296</v>
      </c>
      <c r="C21" s="223"/>
      <c r="D21" s="210">
        <f>(D17*D20)/D14</f>
        <v>1.6055785043003623</v>
      </c>
      <c r="E21" s="210">
        <f>(E20*E17)/E14</f>
        <v>1.6055785043003623</v>
      </c>
      <c r="H21" s="224">
        <v>500</v>
      </c>
      <c r="I21" s="224" t="s">
        <v>607</v>
      </c>
      <c r="J21" s="224"/>
      <c r="K21" s="224"/>
      <c r="L21" s="224"/>
      <c r="M21" s="224"/>
      <c r="N21" s="224"/>
      <c r="O21" s="214"/>
      <c r="P21" s="214"/>
      <c r="Q21" s="214"/>
      <c r="R21" s="214"/>
      <c r="S21" s="214"/>
    </row>
    <row r="22" spans="1:22" s="221" customFormat="1" ht="27.2" customHeight="1" x14ac:dyDescent="0.2">
      <c r="A22" s="225" t="s">
        <v>608</v>
      </c>
      <c r="B22" s="222" t="s">
        <v>296</v>
      </c>
      <c r="C22" s="223"/>
      <c r="D22" s="210">
        <f>(D11*D18)/D14</f>
        <v>18.2806650187194</v>
      </c>
      <c r="E22" s="210">
        <f>I23+I27</f>
        <v>25.704707449361621</v>
      </c>
      <c r="H22" s="224">
        <v>5</v>
      </c>
      <c r="I22" s="224" t="s">
        <v>609</v>
      </c>
      <c r="J22" s="224"/>
      <c r="K22" s="224"/>
      <c r="L22" s="224"/>
      <c r="M22" s="224"/>
      <c r="N22" s="224"/>
      <c r="O22" s="214"/>
      <c r="P22" s="214"/>
      <c r="Q22" s="214"/>
      <c r="R22" s="214"/>
      <c r="S22" s="214"/>
    </row>
    <row r="23" spans="1:22" ht="25.5" x14ac:dyDescent="0.2">
      <c r="A23" s="220" t="s">
        <v>610</v>
      </c>
      <c r="B23" s="213" t="s">
        <v>611</v>
      </c>
      <c r="C23" s="213" t="s">
        <v>589</v>
      </c>
      <c r="D23" s="167">
        <v>10.45</v>
      </c>
      <c r="E23" s="167">
        <f t="shared" ref="E23:E29" si="5">D23</f>
        <v>10.45</v>
      </c>
      <c r="H23" s="158">
        <f>H20*H22</f>
        <v>140384.9</v>
      </c>
      <c r="I23" s="158">
        <f>H23/D14</f>
        <v>14.038040782694953</v>
      </c>
      <c r="O23" s="221"/>
      <c r="P23" s="221"/>
      <c r="Q23" s="221"/>
      <c r="R23" s="221"/>
      <c r="S23" s="221"/>
    </row>
    <row r="24" spans="1:22" ht="12.75" x14ac:dyDescent="0.2">
      <c r="A24" s="220" t="s">
        <v>612</v>
      </c>
      <c r="B24" s="213" t="s">
        <v>205</v>
      </c>
      <c r="C24" s="213"/>
      <c r="D24" s="167">
        <f>DADOS!D21</f>
        <v>6.24</v>
      </c>
      <c r="E24" s="167">
        <f t="shared" si="5"/>
        <v>6.24</v>
      </c>
      <c r="H24" s="158">
        <v>70000</v>
      </c>
    </row>
    <row r="25" spans="1:22" s="221" customFormat="1" ht="28.7" customHeight="1" x14ac:dyDescent="0.2">
      <c r="A25" s="225" t="s">
        <v>613</v>
      </c>
      <c r="B25" s="222" t="s">
        <v>296</v>
      </c>
      <c r="C25" s="222"/>
      <c r="D25" s="210">
        <f>D23*D24</f>
        <v>65.207999999999998</v>
      </c>
      <c r="E25" s="167">
        <f t="shared" si="5"/>
        <v>65.207999999999998</v>
      </c>
      <c r="H25" s="224">
        <v>6000</v>
      </c>
      <c r="I25" s="224" t="s">
        <v>607</v>
      </c>
      <c r="J25" s="224"/>
      <c r="K25" s="224"/>
      <c r="L25" s="224"/>
      <c r="M25" s="224"/>
      <c r="N25" s="224"/>
    </row>
    <row r="26" spans="1:22" ht="38.25" x14ac:dyDescent="0.2">
      <c r="A26" s="220" t="s">
        <v>614</v>
      </c>
      <c r="B26" s="213" t="s">
        <v>615</v>
      </c>
      <c r="C26" s="213" t="s">
        <v>589</v>
      </c>
      <c r="D26" s="226">
        <v>7.5600000000000001E-2</v>
      </c>
      <c r="E26" s="167">
        <f t="shared" si="5"/>
        <v>7.5600000000000001E-2</v>
      </c>
      <c r="H26" s="158">
        <f>D14/H25</f>
        <v>1.66672</v>
      </c>
      <c r="I26" s="158" t="s">
        <v>609</v>
      </c>
      <c r="O26" s="221"/>
      <c r="P26" s="221"/>
      <c r="Q26" s="221"/>
      <c r="R26" s="221"/>
      <c r="S26" s="221"/>
    </row>
    <row r="27" spans="1:22" s="221" customFormat="1" ht="38.25" x14ac:dyDescent="0.2">
      <c r="A27" s="220" t="s">
        <v>616</v>
      </c>
      <c r="B27" s="213" t="s">
        <v>611</v>
      </c>
      <c r="C27" s="213"/>
      <c r="D27" s="167">
        <f>D26*D9</f>
        <v>4.3091999999999997</v>
      </c>
      <c r="E27" s="167">
        <f t="shared" si="5"/>
        <v>4.3091999999999997</v>
      </c>
      <c r="H27" s="224">
        <f>H24*H26</f>
        <v>116670.39999999999</v>
      </c>
      <c r="I27" s="224">
        <f>H27/D14</f>
        <v>11.666666666666666</v>
      </c>
      <c r="J27" s="224"/>
      <c r="K27" s="224"/>
      <c r="L27" s="224"/>
      <c r="M27" s="224"/>
      <c r="N27" s="224"/>
    </row>
    <row r="28" spans="1:22" s="221" customFormat="1" ht="38.25" x14ac:dyDescent="0.2">
      <c r="A28" s="225" t="s">
        <v>617</v>
      </c>
      <c r="B28" s="222" t="s">
        <v>296</v>
      </c>
      <c r="C28" s="222"/>
      <c r="D28" s="210">
        <f>D27*D24</f>
        <v>26.889408</v>
      </c>
      <c r="E28" s="167">
        <f t="shared" si="5"/>
        <v>26.889408</v>
      </c>
      <c r="H28" s="224">
        <f>H23+H27</f>
        <v>257055.3</v>
      </c>
      <c r="I28" s="224"/>
      <c r="J28" s="224"/>
      <c r="K28" s="224"/>
      <c r="L28" s="224"/>
      <c r="M28" s="224"/>
      <c r="N28" s="224"/>
    </row>
    <row r="29" spans="1:22" s="221" customFormat="1" ht="12.75" x14ac:dyDescent="0.2">
      <c r="A29" s="225" t="s">
        <v>618</v>
      </c>
      <c r="B29" s="222" t="s">
        <v>296</v>
      </c>
      <c r="C29" s="222" t="s">
        <v>619</v>
      </c>
      <c r="D29" s="210"/>
      <c r="E29" s="210">
        <f t="shared" si="5"/>
        <v>0</v>
      </c>
      <c r="H29" s="224">
        <f>H28/D11</f>
        <v>1.4061144615384615</v>
      </c>
      <c r="I29" s="224"/>
      <c r="J29" s="224"/>
      <c r="K29" s="224"/>
      <c r="L29" s="224"/>
      <c r="M29" s="224"/>
      <c r="N29" s="224"/>
    </row>
    <row r="30" spans="1:22" s="221" customFormat="1" ht="12.75" x14ac:dyDescent="0.2">
      <c r="A30" s="225" t="s">
        <v>620</v>
      </c>
      <c r="B30" s="222" t="s">
        <v>296</v>
      </c>
      <c r="C30" s="222"/>
      <c r="D30" s="210">
        <f>D19+D21+D22+D25+D28+D29</f>
        <v>128.01438853943523</v>
      </c>
      <c r="E30" s="210">
        <f>E19+E21+E22+E25+E28+E29</f>
        <v>135.43843097007746</v>
      </c>
      <c r="H30" s="224"/>
      <c r="I30" s="224">
        <f>D19+D21+I23+I27+D25+D28+D29</f>
        <v>135.43843097007746</v>
      </c>
      <c r="J30" s="224"/>
      <c r="K30" s="224"/>
      <c r="L30" s="224"/>
      <c r="M30" s="224"/>
      <c r="N30" s="224"/>
    </row>
    <row r="31" spans="1:22" s="221" customFormat="1" ht="25.5" x14ac:dyDescent="0.2">
      <c r="A31" s="225" t="s">
        <v>621</v>
      </c>
      <c r="B31" s="222" t="s">
        <v>296</v>
      </c>
      <c r="C31" s="222" t="s">
        <v>622</v>
      </c>
      <c r="D31" s="210">
        <f>D19+D21+D29</f>
        <v>17.636315520715836</v>
      </c>
      <c r="E31" s="210">
        <f>E19+E21+E29</f>
        <v>17.636315520715836</v>
      </c>
      <c r="H31" s="224"/>
      <c r="I31" s="224">
        <f>D19+D21+D29</f>
        <v>17.636315520715836</v>
      </c>
      <c r="J31" s="224"/>
      <c r="K31" s="224"/>
      <c r="L31" s="224"/>
      <c r="M31" s="224"/>
      <c r="N31" s="224"/>
      <c r="O31" s="214"/>
      <c r="P31" s="214"/>
      <c r="Q31" s="214"/>
      <c r="R31" s="214"/>
      <c r="S31" s="214"/>
    </row>
    <row r="32" spans="1:22" s="221" customFormat="1" ht="12.75" x14ac:dyDescent="0.2">
      <c r="A32" s="225" t="s">
        <v>623</v>
      </c>
      <c r="B32" s="222" t="s">
        <v>296</v>
      </c>
      <c r="C32" s="222"/>
      <c r="D32" s="210">
        <f>D30+D31</f>
        <v>145.65070406015107</v>
      </c>
      <c r="E32" s="210">
        <f>E30+E31</f>
        <v>153.0747464907933</v>
      </c>
      <c r="H32" s="224"/>
      <c r="I32" s="224">
        <f>SUM(I30:I31)</f>
        <v>153.0747464907933</v>
      </c>
      <c r="J32" s="224"/>
      <c r="K32" s="224"/>
      <c r="L32" s="224"/>
      <c r="M32" s="224"/>
      <c r="N32" s="224"/>
      <c r="O32" s="214"/>
      <c r="P32" s="214"/>
      <c r="Q32" s="214"/>
      <c r="R32" s="214"/>
      <c r="S32" s="214"/>
    </row>
    <row r="33" spans="1:9" ht="12.75" x14ac:dyDescent="0.2">
      <c r="A33" s="225" t="s">
        <v>449</v>
      </c>
      <c r="B33" s="222"/>
      <c r="C33" s="222"/>
      <c r="D33" s="227"/>
      <c r="E33" s="168">
        <v>0.28131021346469631</v>
      </c>
    </row>
    <row r="34" spans="1:9" ht="12.75" x14ac:dyDescent="0.2">
      <c r="A34" s="225" t="s">
        <v>624</v>
      </c>
      <c r="B34" s="222" t="s">
        <v>296</v>
      </c>
      <c r="C34" s="222"/>
      <c r="D34" s="210">
        <f>D32*(1+D33)</f>
        <v>145.65070406015107</v>
      </c>
      <c r="E34" s="167">
        <f>E32*(1+E33)</f>
        <v>196.13623610217263</v>
      </c>
      <c r="I34" s="167">
        <f>I32*(1+D33)</f>
        <v>153.0747464907933</v>
      </c>
    </row>
  </sheetData>
  <mergeCells count="12">
    <mergeCell ref="A10:A11"/>
    <mergeCell ref="C10:C11"/>
    <mergeCell ref="K10:L11"/>
    <mergeCell ref="A12:A13"/>
    <mergeCell ref="K12:L12"/>
    <mergeCell ref="K8:L8"/>
    <mergeCell ref="K9:N9"/>
    <mergeCell ref="A1:E1"/>
    <mergeCell ref="A5:A6"/>
    <mergeCell ref="B5:B6"/>
    <mergeCell ref="C5:C6"/>
    <mergeCell ref="A8:A9"/>
  </mergeCells>
  <pageMargins left="1.1811023622047245" right="0.78740157480314965" top="1.3779527559055118" bottom="0.98425196850393704" header="0.51181102362204722" footer="0.51181102362204722"/>
  <pageSetup paperSize="9" scale="65" orientation="landscape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08"/>
  <sheetViews>
    <sheetView view="pageBreakPreview" topLeftCell="A34" workbookViewId="0">
      <selection activeCell="M79" sqref="M79"/>
    </sheetView>
  </sheetViews>
  <sheetFormatPr defaultColWidth="9.33203125" defaultRowHeight="12.75" x14ac:dyDescent="0.2"/>
  <cols>
    <col min="1" max="1" width="50.83203125" style="39" customWidth="1"/>
    <col min="2" max="2" width="10.83203125" style="39" customWidth="1"/>
    <col min="3" max="3" width="7.33203125" style="39" customWidth="1"/>
    <col min="4" max="4" width="14.83203125" style="39" customWidth="1"/>
    <col min="5" max="5" width="10.83203125" style="39" customWidth="1"/>
    <col min="6" max="6" width="14.83203125" style="128" customWidth="1"/>
    <col min="7" max="7" width="10.83203125" style="39" customWidth="1"/>
    <col min="8" max="8" width="11.33203125" style="39" customWidth="1"/>
    <col min="9" max="9" width="13.6640625" style="1" customWidth="1"/>
    <col min="10" max="10" width="10.83203125" style="1" bestFit="1" customWidth="1"/>
    <col min="11" max="11" width="15" style="65" customWidth="1"/>
    <col min="12" max="12" width="9.33203125" style="1"/>
    <col min="13" max="13" width="15.33203125" style="1" customWidth="1"/>
    <col min="14" max="14" width="9.33203125" style="1"/>
    <col min="15" max="15" width="14.1640625" style="127" customWidth="1"/>
    <col min="16" max="16" width="9.33203125" style="1"/>
    <col min="17" max="17" width="18.1640625" style="65" customWidth="1"/>
    <col min="18" max="16384" width="9.33203125" style="1"/>
  </cols>
  <sheetData>
    <row r="1" spans="1:8" ht="18.75" hidden="1" x14ac:dyDescent="0.2">
      <c r="A1" s="357" t="s">
        <v>215</v>
      </c>
      <c r="B1" s="357"/>
      <c r="C1" s="357"/>
      <c r="D1" s="357"/>
      <c r="E1" s="357"/>
      <c r="F1" s="126"/>
      <c r="G1" s="36"/>
      <c r="H1" s="37"/>
    </row>
    <row r="2" spans="1:8" ht="18" hidden="1" customHeight="1" x14ac:dyDescent="0.2">
      <c r="A2" s="357"/>
      <c r="B2" s="357"/>
      <c r="C2" s="357"/>
      <c r="D2" s="357"/>
      <c r="E2" s="357"/>
      <c r="F2" s="126"/>
      <c r="G2" s="36"/>
      <c r="H2" s="38"/>
    </row>
    <row r="3" spans="1:8" hidden="1" x14ac:dyDescent="0.2"/>
    <row r="4" spans="1:8" hidden="1" x14ac:dyDescent="0.2"/>
    <row r="5" spans="1:8" hidden="1" x14ac:dyDescent="0.2">
      <c r="A5" s="40" t="s">
        <v>217</v>
      </c>
      <c r="D5" s="40" t="s">
        <v>211</v>
      </c>
    </row>
    <row r="7" spans="1:8" x14ac:dyDescent="0.2">
      <c r="A7" s="356" t="s">
        <v>0</v>
      </c>
      <c r="B7" s="356"/>
      <c r="C7" s="356"/>
      <c r="D7" s="356"/>
      <c r="E7" s="356"/>
      <c r="F7" s="129"/>
      <c r="G7" s="41"/>
      <c r="H7" s="100"/>
    </row>
    <row r="8" spans="1:8" x14ac:dyDescent="0.2">
      <c r="A8" s="42"/>
      <c r="B8" s="42"/>
      <c r="C8" s="42"/>
      <c r="D8" s="42"/>
      <c r="E8" s="42"/>
      <c r="F8" s="130"/>
      <c r="G8" s="42"/>
      <c r="H8" s="42"/>
    </row>
    <row r="9" spans="1:8" x14ac:dyDescent="0.2">
      <c r="A9" s="101" t="s">
        <v>315</v>
      </c>
      <c r="B9" s="101"/>
      <c r="C9" s="101"/>
      <c r="D9" s="44"/>
      <c r="E9" s="44"/>
      <c r="F9" s="131"/>
      <c r="G9" s="44"/>
      <c r="H9" s="44"/>
    </row>
    <row r="10" spans="1:8" x14ac:dyDescent="0.2">
      <c r="A10" s="42"/>
      <c r="B10" s="42"/>
      <c r="C10" s="42"/>
      <c r="D10" s="42"/>
      <c r="E10" s="42"/>
      <c r="F10" s="130"/>
      <c r="G10" s="42"/>
      <c r="H10" s="42"/>
    </row>
    <row r="11" spans="1:8" x14ac:dyDescent="0.2">
      <c r="A11" s="102" t="s">
        <v>34</v>
      </c>
      <c r="B11" s="132"/>
      <c r="C11" s="132"/>
      <c r="D11" s="42"/>
      <c r="E11" s="42"/>
      <c r="F11" s="130"/>
      <c r="G11" s="42"/>
      <c r="H11" s="42"/>
    </row>
    <row r="12" spans="1:8" x14ac:dyDescent="0.2">
      <c r="A12" s="42"/>
      <c r="B12" s="42"/>
      <c r="C12" s="42"/>
      <c r="D12" s="103" t="s">
        <v>159</v>
      </c>
      <c r="E12" s="103"/>
      <c r="F12" s="103" t="s">
        <v>160</v>
      </c>
      <c r="G12" s="42"/>
      <c r="H12" s="42"/>
    </row>
    <row r="13" spans="1:8" x14ac:dyDescent="0.2">
      <c r="A13" s="104" t="s">
        <v>95</v>
      </c>
      <c r="B13" s="104"/>
      <c r="C13" s="104"/>
      <c r="D13" s="42">
        <f>47+4</f>
        <v>51</v>
      </c>
      <c r="E13" s="42" t="s">
        <v>35</v>
      </c>
      <c r="F13" s="130">
        <f>8+1</f>
        <v>9</v>
      </c>
      <c r="G13" s="42" t="s">
        <v>35</v>
      </c>
      <c r="H13" s="42"/>
    </row>
    <row r="14" spans="1:8" x14ac:dyDescent="0.2">
      <c r="A14" s="104" t="s">
        <v>307</v>
      </c>
      <c r="B14" s="53"/>
      <c r="C14" s="53"/>
      <c r="D14" s="42">
        <f>VARREDOR!B34</f>
        <v>3926.9745976190479</v>
      </c>
      <c r="E14" s="53" t="s">
        <v>36</v>
      </c>
      <c r="F14" s="133">
        <f>VARREDOR!B64</f>
        <v>4092.9090626190477</v>
      </c>
      <c r="G14" s="53" t="s">
        <v>36</v>
      </c>
      <c r="H14" s="42"/>
    </row>
    <row r="15" spans="1:8" x14ac:dyDescent="0.2">
      <c r="A15" s="104" t="s">
        <v>460</v>
      </c>
      <c r="B15" s="53"/>
      <c r="C15" s="53"/>
      <c r="D15" s="42">
        <f>ROUND((((D13*(D14/220)*1.5)*4*4)+(7*((D14/220)*2)*4*4)+(7*((D14/220)*2)*8*1)),2)</f>
        <v>27845.82</v>
      </c>
      <c r="E15" s="104" t="s">
        <v>37</v>
      </c>
      <c r="F15" s="42">
        <f>ROUND((((F13*(F14/220)*1.5)*4*4)),2)</f>
        <v>4018.49</v>
      </c>
      <c r="G15" s="104" t="s">
        <v>37</v>
      </c>
      <c r="H15" s="42"/>
    </row>
    <row r="16" spans="1:8" x14ac:dyDescent="0.2">
      <c r="A16" s="104" t="s">
        <v>308</v>
      </c>
      <c r="B16" s="104"/>
      <c r="C16" s="104"/>
      <c r="D16" s="42">
        <f>(D13*D14)+D15</f>
        <v>228121.52447857146</v>
      </c>
      <c r="E16" s="42" t="s">
        <v>37</v>
      </c>
      <c r="F16" s="42">
        <f>(F13*F14)+F15</f>
        <v>40854.671563571428</v>
      </c>
      <c r="G16" s="42" t="s">
        <v>37</v>
      </c>
      <c r="H16" s="42"/>
    </row>
    <row r="17" spans="1:8" x14ac:dyDescent="0.2">
      <c r="A17" s="104"/>
      <c r="B17" s="104"/>
      <c r="C17" s="104"/>
      <c r="D17" s="42"/>
      <c r="E17" s="42"/>
      <c r="F17" s="130"/>
      <c r="G17" s="42"/>
      <c r="H17" s="42"/>
    </row>
    <row r="18" spans="1:8" x14ac:dyDescent="0.2">
      <c r="A18" s="53" t="s">
        <v>38</v>
      </c>
      <c r="B18" s="53"/>
      <c r="C18" s="53"/>
      <c r="D18" s="42">
        <v>1</v>
      </c>
      <c r="E18" s="42" t="s">
        <v>35</v>
      </c>
      <c r="F18" s="130"/>
      <c r="G18" s="42" t="s">
        <v>35</v>
      </c>
      <c r="H18" s="42"/>
    </row>
    <row r="19" spans="1:8" x14ac:dyDescent="0.2">
      <c r="A19" s="42" t="s">
        <v>310</v>
      </c>
      <c r="B19" s="42"/>
      <c r="C19" s="42"/>
      <c r="D19" s="42">
        <f>'ENC I'!B32</f>
        <v>9061.6866043333339</v>
      </c>
      <c r="E19" s="42" t="s">
        <v>36</v>
      </c>
      <c r="F19" s="130">
        <f>'ENC I'!B59</f>
        <v>9715.8399713333329</v>
      </c>
      <c r="G19" s="42" t="s">
        <v>36</v>
      </c>
      <c r="H19" s="42"/>
    </row>
    <row r="20" spans="1:8" x14ac:dyDescent="0.2">
      <c r="A20" s="104" t="s">
        <v>460</v>
      </c>
      <c r="B20" s="53"/>
      <c r="C20" s="53"/>
      <c r="D20" s="42">
        <f>ROUND((((D18*(D19/220)*1.5)*4*4)),2)</f>
        <v>988.55</v>
      </c>
      <c r="E20" s="42" t="s">
        <v>37</v>
      </c>
      <c r="F20" s="42">
        <f>ROUND((((F18*(D19/220)*1.5)*4*4)+(F18*((F19/220)*2)*8*1)),2)</f>
        <v>0</v>
      </c>
      <c r="G20" s="42" t="s">
        <v>37</v>
      </c>
      <c r="H20" s="42"/>
    </row>
    <row r="21" spans="1:8" x14ac:dyDescent="0.2">
      <c r="A21" s="42" t="s">
        <v>309</v>
      </c>
      <c r="B21" s="42"/>
      <c r="C21" s="42"/>
      <c r="D21" s="42">
        <f>(D19*D18)+D20</f>
        <v>10050.236604333333</v>
      </c>
      <c r="E21" s="42" t="s">
        <v>37</v>
      </c>
      <c r="F21" s="130">
        <f>(F18*F19)+F20</f>
        <v>0</v>
      </c>
      <c r="G21" s="42" t="s">
        <v>37</v>
      </c>
      <c r="H21" s="42"/>
    </row>
    <row r="22" spans="1:8" x14ac:dyDescent="0.2">
      <c r="A22" s="42"/>
      <c r="B22" s="42"/>
      <c r="C22" s="42"/>
      <c r="D22" s="42"/>
      <c r="E22" s="42"/>
      <c r="F22" s="130"/>
      <c r="G22" s="42"/>
      <c r="H22" s="42"/>
    </row>
    <row r="23" spans="1:8" x14ac:dyDescent="0.2">
      <c r="A23" s="105" t="s">
        <v>181</v>
      </c>
      <c r="B23" s="105"/>
      <c r="C23" s="105"/>
      <c r="D23" s="105">
        <f>D16+D21+F16+F21</f>
        <v>279026.4326464762</v>
      </c>
      <c r="E23" s="105" t="s">
        <v>130</v>
      </c>
      <c r="F23" s="134"/>
      <c r="G23" s="105"/>
      <c r="H23" s="42"/>
    </row>
    <row r="24" spans="1:8" x14ac:dyDescent="0.2">
      <c r="A24" s="42"/>
      <c r="B24" s="42"/>
      <c r="C24" s="42"/>
      <c r="D24" s="42"/>
      <c r="E24" s="42"/>
      <c r="F24" s="130"/>
      <c r="G24" s="42"/>
      <c r="H24" s="42"/>
    </row>
    <row r="25" spans="1:8" x14ac:dyDescent="0.2">
      <c r="A25" s="109" t="s">
        <v>148</v>
      </c>
      <c r="B25" s="110"/>
      <c r="C25" s="110"/>
      <c r="D25" s="42"/>
      <c r="E25" s="42"/>
      <c r="F25" s="130"/>
      <c r="G25" s="42"/>
      <c r="H25" s="42"/>
    </row>
    <row r="26" spans="1:8" x14ac:dyDescent="0.2">
      <c r="A26" s="42"/>
      <c r="B26" s="42"/>
      <c r="C26" s="42"/>
      <c r="D26" s="42"/>
      <c r="E26" s="42"/>
      <c r="F26" s="130"/>
      <c r="G26" s="42"/>
      <c r="H26" s="42"/>
    </row>
    <row r="27" spans="1:8" x14ac:dyDescent="0.2">
      <c r="A27" s="42" t="s">
        <v>471</v>
      </c>
      <c r="B27" s="42"/>
      <c r="C27" s="42"/>
      <c r="D27" s="42">
        <f>Planilha2!U9</f>
        <v>20.614999999999998</v>
      </c>
      <c r="E27" s="42" t="s">
        <v>37</v>
      </c>
      <c r="F27" s="130"/>
      <c r="G27" s="42"/>
      <c r="H27" s="42"/>
    </row>
    <row r="28" spans="1:8" x14ac:dyDescent="0.2">
      <c r="A28" s="42" t="s">
        <v>41</v>
      </c>
      <c r="B28" s="42"/>
      <c r="C28" s="42"/>
      <c r="D28" s="42">
        <v>26</v>
      </c>
      <c r="E28" s="42" t="s">
        <v>35</v>
      </c>
      <c r="F28" s="130"/>
      <c r="G28" s="42"/>
      <c r="H28" s="42"/>
    </row>
    <row r="29" spans="1:8" x14ac:dyDescent="0.2">
      <c r="A29" s="104" t="s">
        <v>42</v>
      </c>
      <c r="B29" s="104"/>
      <c r="C29" s="104"/>
      <c r="D29" s="42">
        <f>+D28*D27</f>
        <v>535.99</v>
      </c>
      <c r="E29" s="42" t="s">
        <v>37</v>
      </c>
      <c r="F29" s="130"/>
      <c r="G29" s="42"/>
      <c r="H29" s="42"/>
    </row>
    <row r="30" spans="1:8" x14ac:dyDescent="0.2">
      <c r="A30" s="42" t="s">
        <v>635</v>
      </c>
      <c r="B30" s="179">
        <f>((D13+F13)*15)*30</f>
        <v>27000</v>
      </c>
      <c r="C30" s="107" t="s">
        <v>113</v>
      </c>
      <c r="D30" s="42">
        <f>Planilha2!U17*B30</f>
        <v>14597.999999999998</v>
      </c>
      <c r="E30" s="42" t="s">
        <v>43</v>
      </c>
      <c r="F30" s="130"/>
      <c r="G30" s="42"/>
      <c r="H30" s="42"/>
    </row>
    <row r="31" spans="1:8" x14ac:dyDescent="0.2">
      <c r="A31" s="42" t="s">
        <v>472</v>
      </c>
      <c r="B31" s="179">
        <f>(D13+F13+D18+F18)*2*26</f>
        <v>3172</v>
      </c>
      <c r="C31" s="107" t="s">
        <v>473</v>
      </c>
      <c r="D31" s="42">
        <f>B31*Planilha2!R27</f>
        <v>2030.0800000000002</v>
      </c>
      <c r="E31" s="42" t="s">
        <v>43</v>
      </c>
      <c r="F31" s="130"/>
      <c r="G31" s="42"/>
      <c r="H31" s="42"/>
    </row>
    <row r="32" spans="1:8" x14ac:dyDescent="0.2">
      <c r="A32" s="42"/>
      <c r="B32" s="42"/>
      <c r="C32" s="42"/>
      <c r="D32" s="42"/>
      <c r="E32" s="42"/>
      <c r="F32" s="130"/>
      <c r="G32" s="42"/>
      <c r="H32" s="42"/>
    </row>
    <row r="33" spans="1:9" x14ac:dyDescent="0.2">
      <c r="A33" s="105" t="s">
        <v>182</v>
      </c>
      <c r="B33" s="105"/>
      <c r="C33" s="105"/>
      <c r="D33" s="105">
        <f>D29+D30+D31</f>
        <v>17164.07</v>
      </c>
      <c r="E33" s="105" t="s">
        <v>130</v>
      </c>
      <c r="F33" s="134"/>
      <c r="G33" s="105"/>
      <c r="H33" s="42"/>
    </row>
    <row r="34" spans="1:9" x14ac:dyDescent="0.2">
      <c r="A34" s="42"/>
      <c r="B34" s="42"/>
      <c r="C34" s="42"/>
      <c r="D34" s="42"/>
      <c r="E34" s="42"/>
      <c r="F34" s="130"/>
      <c r="G34" s="42"/>
      <c r="H34" s="42"/>
    </row>
    <row r="35" spans="1:9" x14ac:dyDescent="0.2">
      <c r="A35" s="109" t="s">
        <v>84</v>
      </c>
      <c r="B35" s="110"/>
      <c r="C35" s="110"/>
      <c r="D35" s="95"/>
      <c r="E35" s="42"/>
      <c r="F35" s="130"/>
      <c r="G35" s="42"/>
      <c r="H35" s="42"/>
    </row>
    <row r="36" spans="1:9" x14ac:dyDescent="0.2">
      <c r="A36" s="106"/>
      <c r="B36" s="106"/>
      <c r="C36" s="106"/>
      <c r="D36" s="95"/>
      <c r="E36" s="42"/>
      <c r="F36" s="130"/>
      <c r="G36" s="42"/>
      <c r="H36" s="42"/>
    </row>
    <row r="37" spans="1:9" x14ac:dyDescent="0.2">
      <c r="A37" s="48" t="s">
        <v>112</v>
      </c>
      <c r="B37" s="180">
        <v>26</v>
      </c>
      <c r="C37" s="107" t="s">
        <v>113</v>
      </c>
      <c r="D37" s="42">
        <f>B37*Planilha2!U4</f>
        <v>353.99000000000007</v>
      </c>
      <c r="E37" s="42" t="s">
        <v>37</v>
      </c>
      <c r="F37" s="130"/>
      <c r="G37" s="42"/>
      <c r="H37" s="42"/>
    </row>
    <row r="38" spans="1:9" x14ac:dyDescent="0.2">
      <c r="A38" s="42" t="s">
        <v>116</v>
      </c>
      <c r="B38" s="179">
        <v>60</v>
      </c>
      <c r="C38" s="107" t="s">
        <v>113</v>
      </c>
      <c r="D38" s="42">
        <f>B38*Planilha2!U6</f>
        <v>2031.3999999999996</v>
      </c>
      <c r="E38" s="42" t="s">
        <v>37</v>
      </c>
      <c r="F38" s="130"/>
      <c r="G38" s="42"/>
      <c r="H38" s="42"/>
    </row>
    <row r="39" spans="1:9" x14ac:dyDescent="0.2">
      <c r="A39" s="42" t="s">
        <v>213</v>
      </c>
      <c r="B39" s="108"/>
      <c r="C39" s="107"/>
      <c r="D39" s="42">
        <f>SUM(D37:D38)</f>
        <v>2385.39</v>
      </c>
      <c r="E39" s="42" t="s">
        <v>71</v>
      </c>
      <c r="F39" s="130"/>
      <c r="G39" s="42"/>
      <c r="H39" s="42"/>
    </row>
    <row r="40" spans="1:9" x14ac:dyDescent="0.2">
      <c r="A40" s="42"/>
      <c r="B40" s="42"/>
      <c r="C40" s="42"/>
      <c r="D40" s="42"/>
      <c r="E40" s="42"/>
      <c r="F40" s="130"/>
      <c r="G40" s="42"/>
      <c r="H40" s="42"/>
      <c r="I40" s="42"/>
    </row>
    <row r="41" spans="1:9" x14ac:dyDescent="0.2">
      <c r="A41" s="105" t="s">
        <v>183</v>
      </c>
      <c r="B41" s="105"/>
      <c r="C41" s="105"/>
      <c r="D41" s="105">
        <f>D39</f>
        <v>2385.39</v>
      </c>
      <c r="E41" s="105" t="s">
        <v>130</v>
      </c>
      <c r="F41" s="134"/>
      <c r="G41" s="105"/>
      <c r="H41" s="42"/>
      <c r="I41" s="42"/>
    </row>
    <row r="42" spans="1:9" x14ac:dyDescent="0.2">
      <c r="A42" s="42"/>
      <c r="B42" s="42"/>
      <c r="C42" s="42"/>
      <c r="D42" s="42"/>
      <c r="E42" s="42"/>
      <c r="F42" s="42"/>
      <c r="G42" s="42"/>
      <c r="H42" s="42"/>
      <c r="I42" s="42"/>
    </row>
    <row r="43" spans="1:9" hidden="1" x14ac:dyDescent="0.2">
      <c r="A43" s="109" t="s">
        <v>470</v>
      </c>
      <c r="B43" s="42"/>
      <c r="C43" s="42"/>
      <c r="D43" s="42"/>
      <c r="E43" s="42"/>
      <c r="F43" s="42"/>
      <c r="G43" s="42"/>
      <c r="H43" s="42"/>
      <c r="I43" s="42"/>
    </row>
    <row r="44" spans="1:9" hidden="1" x14ac:dyDescent="0.2">
      <c r="A44" s="109"/>
      <c r="B44" s="42"/>
      <c r="C44" s="42"/>
      <c r="D44" s="42"/>
      <c r="E44" s="42"/>
      <c r="F44" s="42"/>
      <c r="G44" s="42"/>
      <c r="H44" s="42"/>
      <c r="I44" s="42"/>
    </row>
    <row r="45" spans="1:9" hidden="1" x14ac:dyDescent="0.2">
      <c r="A45" s="104" t="s">
        <v>478</v>
      </c>
      <c r="B45" s="42"/>
      <c r="C45" s="42"/>
      <c r="D45" s="42"/>
      <c r="E45" s="42"/>
      <c r="F45" s="42"/>
      <c r="G45" s="42"/>
      <c r="H45" s="42"/>
      <c r="I45" s="42"/>
    </row>
    <row r="46" spans="1:9" hidden="1" x14ac:dyDescent="0.2">
      <c r="A46" s="104" t="s">
        <v>476</v>
      </c>
      <c r="B46" s="42"/>
      <c r="C46" s="42"/>
      <c r="D46" s="42">
        <f>63*1.5</f>
        <v>94.5</v>
      </c>
      <c r="E46" s="42" t="s">
        <v>475</v>
      </c>
      <c r="F46" s="42"/>
      <c r="G46" s="42"/>
      <c r="H46" s="42"/>
      <c r="I46" s="42"/>
    </row>
    <row r="47" spans="1:9" hidden="1" x14ac:dyDescent="0.2">
      <c r="A47" s="104" t="s">
        <v>477</v>
      </c>
      <c r="B47" s="42"/>
      <c r="C47" s="42"/>
      <c r="D47" s="42">
        <f>47.25*1.3</f>
        <v>61.425000000000004</v>
      </c>
      <c r="E47" s="42" t="s">
        <v>485</v>
      </c>
      <c r="F47" s="42"/>
      <c r="G47" s="42"/>
      <c r="H47" s="42"/>
      <c r="I47" s="42"/>
    </row>
    <row r="48" spans="1:9" hidden="1" x14ac:dyDescent="0.2">
      <c r="A48" s="104"/>
      <c r="B48" s="42"/>
      <c r="C48" s="42"/>
      <c r="D48" s="42"/>
      <c r="E48" s="42"/>
      <c r="F48" s="42"/>
      <c r="G48" s="42"/>
      <c r="H48" s="42"/>
      <c r="I48" s="42"/>
    </row>
    <row r="49" spans="1:9" hidden="1" x14ac:dyDescent="0.2">
      <c r="A49" s="104" t="s">
        <v>479</v>
      </c>
      <c r="B49" s="42"/>
      <c r="C49" s="42"/>
      <c r="D49" s="42"/>
      <c r="E49" s="42"/>
      <c r="F49" s="42"/>
      <c r="G49" s="42"/>
      <c r="H49" s="42"/>
      <c r="I49" s="42"/>
    </row>
    <row r="50" spans="1:9" hidden="1" x14ac:dyDescent="0.2">
      <c r="A50" s="104" t="s">
        <v>480</v>
      </c>
      <c r="B50" s="42"/>
      <c r="C50" s="42"/>
      <c r="D50" s="42">
        <v>800</v>
      </c>
      <c r="E50" s="42" t="s">
        <v>484</v>
      </c>
      <c r="F50" s="42"/>
      <c r="G50" s="42"/>
      <c r="H50" s="42"/>
      <c r="I50" s="42"/>
    </row>
    <row r="51" spans="1:9" hidden="1" x14ac:dyDescent="0.2">
      <c r="A51" s="104" t="s">
        <v>481</v>
      </c>
      <c r="B51" s="42"/>
      <c r="C51" s="42"/>
      <c r="D51" s="42">
        <v>60</v>
      </c>
      <c r="E51" s="42" t="s">
        <v>485</v>
      </c>
      <c r="F51" s="42"/>
      <c r="G51" s="42"/>
      <c r="H51" s="42"/>
      <c r="I51" s="42"/>
    </row>
    <row r="52" spans="1:9" hidden="1" x14ac:dyDescent="0.2">
      <c r="A52" s="104" t="s">
        <v>482</v>
      </c>
      <c r="B52" s="42"/>
      <c r="C52" s="42"/>
      <c r="D52" s="42">
        <v>30</v>
      </c>
      <c r="E52" s="42" t="s">
        <v>55</v>
      </c>
      <c r="F52" s="42"/>
      <c r="G52" s="42"/>
      <c r="H52" s="42"/>
      <c r="I52" s="42"/>
    </row>
    <row r="53" spans="1:9" hidden="1" x14ac:dyDescent="0.2">
      <c r="A53" s="42" t="s">
        <v>483</v>
      </c>
      <c r="B53" s="42"/>
      <c r="C53" s="42"/>
      <c r="D53" s="42">
        <f>(D50/D52)+D51</f>
        <v>86.666666666666671</v>
      </c>
      <c r="E53" s="42" t="s">
        <v>486</v>
      </c>
      <c r="F53" s="42"/>
      <c r="G53" s="42"/>
      <c r="H53" s="42"/>
      <c r="I53" s="42"/>
    </row>
    <row r="54" spans="1:9" hidden="1" x14ac:dyDescent="0.2">
      <c r="A54" s="42"/>
      <c r="B54" s="42"/>
      <c r="C54" s="42"/>
      <c r="D54" s="42"/>
      <c r="E54" s="42"/>
      <c r="F54" s="42"/>
      <c r="G54" s="42"/>
      <c r="H54" s="42"/>
      <c r="I54" s="42"/>
    </row>
    <row r="55" spans="1:9" hidden="1" x14ac:dyDescent="0.2">
      <c r="A55" s="42" t="s">
        <v>487</v>
      </c>
      <c r="B55" s="42"/>
      <c r="C55" s="42"/>
      <c r="D55" s="42"/>
      <c r="E55" s="42"/>
      <c r="F55" s="42"/>
      <c r="G55" s="42"/>
      <c r="H55" s="42"/>
      <c r="I55" s="42"/>
    </row>
    <row r="56" spans="1:9" hidden="1" x14ac:dyDescent="0.2">
      <c r="A56" s="42" t="s">
        <v>488</v>
      </c>
      <c r="B56" s="42"/>
      <c r="C56" s="42"/>
      <c r="D56" s="42"/>
      <c r="E56" s="42" t="s">
        <v>493</v>
      </c>
      <c r="F56" s="42"/>
      <c r="G56" s="42"/>
      <c r="H56" s="42"/>
      <c r="I56" s="42"/>
    </row>
    <row r="57" spans="1:9" hidden="1" x14ac:dyDescent="0.2">
      <c r="A57" s="42" t="s">
        <v>489</v>
      </c>
      <c r="B57" s="42"/>
      <c r="C57" s="42"/>
      <c r="D57" s="42"/>
      <c r="E57" s="42" t="s">
        <v>493</v>
      </c>
      <c r="F57" s="42"/>
      <c r="G57" s="42"/>
      <c r="H57" s="42"/>
      <c r="I57" s="42"/>
    </row>
    <row r="58" spans="1:9" hidden="1" x14ac:dyDescent="0.2">
      <c r="A58" s="42" t="s">
        <v>495</v>
      </c>
      <c r="B58" s="42"/>
      <c r="C58" s="42"/>
      <c r="D58" s="42">
        <f>D46*D56</f>
        <v>0</v>
      </c>
      <c r="E58" s="42" t="s">
        <v>494</v>
      </c>
      <c r="F58" s="42"/>
      <c r="G58" s="42"/>
      <c r="H58" s="42"/>
      <c r="I58" s="42"/>
    </row>
    <row r="59" spans="1:9" hidden="1" x14ac:dyDescent="0.2">
      <c r="A59" s="42" t="s">
        <v>490</v>
      </c>
      <c r="B59" s="42"/>
      <c r="C59" s="42"/>
      <c r="D59" s="42">
        <f>D57*D47</f>
        <v>0</v>
      </c>
      <c r="E59" s="42" t="s">
        <v>485</v>
      </c>
      <c r="F59" s="42"/>
      <c r="G59" s="42"/>
      <c r="H59" s="42"/>
      <c r="I59" s="42"/>
    </row>
    <row r="60" spans="1:9" hidden="1" x14ac:dyDescent="0.2">
      <c r="A60" s="42" t="s">
        <v>491</v>
      </c>
      <c r="B60" s="42"/>
      <c r="C60" s="42"/>
      <c r="D60" s="42"/>
      <c r="E60" s="42" t="s">
        <v>493</v>
      </c>
      <c r="F60" s="42"/>
      <c r="G60" s="42"/>
      <c r="H60" s="42"/>
      <c r="I60" s="42"/>
    </row>
    <row r="61" spans="1:9" hidden="1" x14ac:dyDescent="0.2">
      <c r="A61" s="42" t="s">
        <v>496</v>
      </c>
      <c r="B61" s="42"/>
      <c r="C61" s="42"/>
      <c r="D61" s="42">
        <f>D53*D60</f>
        <v>0</v>
      </c>
      <c r="E61" s="42" t="s">
        <v>497</v>
      </c>
      <c r="F61" s="42"/>
      <c r="G61" s="42"/>
      <c r="H61" s="42"/>
      <c r="I61" s="42"/>
    </row>
    <row r="62" spans="1:9" hidden="1" x14ac:dyDescent="0.2">
      <c r="A62" s="42"/>
      <c r="B62" s="42"/>
      <c r="C62" s="42"/>
      <c r="D62" s="42"/>
      <c r="E62" s="42"/>
      <c r="F62" s="42"/>
      <c r="G62" s="42"/>
      <c r="H62" s="42"/>
      <c r="I62" s="42"/>
    </row>
    <row r="63" spans="1:9" hidden="1" x14ac:dyDescent="0.2">
      <c r="A63" s="105" t="s">
        <v>492</v>
      </c>
      <c r="B63" s="105"/>
      <c r="C63" s="105"/>
      <c r="D63" s="105">
        <f>D58+D59+D61</f>
        <v>0</v>
      </c>
      <c r="E63" s="105" t="s">
        <v>130</v>
      </c>
      <c r="F63" s="134"/>
      <c r="G63" s="105"/>
      <c r="H63" s="42"/>
      <c r="I63" s="42"/>
    </row>
    <row r="64" spans="1:9" hidden="1" x14ac:dyDescent="0.2">
      <c r="A64" s="42"/>
      <c r="B64" s="42"/>
      <c r="C64" s="42"/>
      <c r="D64" s="42"/>
      <c r="E64" s="42"/>
      <c r="F64" s="130"/>
      <c r="G64" s="42"/>
      <c r="H64" s="42"/>
      <c r="I64" s="42"/>
    </row>
    <row r="65" spans="1:17" s="138" customFormat="1" hidden="1" x14ac:dyDescent="0.2">
      <c r="A65" s="102" t="s">
        <v>186</v>
      </c>
      <c r="B65" s="135"/>
      <c r="C65" s="136"/>
      <c r="D65" s="132"/>
      <c r="E65" s="132"/>
      <c r="F65" s="137"/>
      <c r="G65" s="132"/>
      <c r="H65" s="132"/>
      <c r="K65" s="140"/>
      <c r="O65" s="139"/>
      <c r="Q65" s="140"/>
    </row>
    <row r="66" spans="1:17" hidden="1" x14ac:dyDescent="0.2">
      <c r="A66" s="42"/>
      <c r="B66" s="108"/>
      <c r="C66" s="107"/>
      <c r="D66" s="42"/>
      <c r="E66" s="42"/>
      <c r="F66" s="130"/>
      <c r="G66" s="42"/>
      <c r="H66" s="42"/>
    </row>
    <row r="67" spans="1:17" hidden="1" x14ac:dyDescent="0.2">
      <c r="A67" s="42" t="s">
        <v>163</v>
      </c>
      <c r="B67" s="108"/>
      <c r="C67" s="107" t="s">
        <v>113</v>
      </c>
      <c r="D67" s="42" t="e">
        <f>+B67*#REF!</f>
        <v>#REF!</v>
      </c>
      <c r="E67" s="42"/>
      <c r="F67" s="130"/>
      <c r="G67" s="42"/>
      <c r="H67" s="42"/>
    </row>
    <row r="68" spans="1:17" hidden="1" x14ac:dyDescent="0.2">
      <c r="A68" s="42" t="s">
        <v>69</v>
      </c>
      <c r="B68" s="42"/>
      <c r="C68" s="42"/>
      <c r="D68" s="42" t="e">
        <f>D67</f>
        <v>#REF!</v>
      </c>
      <c r="E68" s="42" t="s">
        <v>37</v>
      </c>
      <c r="F68" s="130"/>
      <c r="G68" s="42"/>
      <c r="H68" s="42"/>
    </row>
    <row r="69" spans="1:17" hidden="1" x14ac:dyDescent="0.2">
      <c r="A69" s="42" t="s">
        <v>70</v>
      </c>
      <c r="B69" s="42"/>
      <c r="C69" s="42"/>
      <c r="D69" s="42">
        <v>12</v>
      </c>
      <c r="E69" s="42" t="s">
        <v>55</v>
      </c>
      <c r="F69" s="130"/>
      <c r="G69" s="42"/>
      <c r="H69" s="42"/>
    </row>
    <row r="70" spans="1:17" hidden="1" x14ac:dyDescent="0.2">
      <c r="A70" s="42" t="s">
        <v>56</v>
      </c>
      <c r="B70" s="42"/>
      <c r="C70" s="42"/>
      <c r="D70" s="42" t="e">
        <f>+D68/+D69</f>
        <v>#REF!</v>
      </c>
      <c r="E70" s="42" t="s">
        <v>71</v>
      </c>
      <c r="F70" s="130"/>
      <c r="G70" s="42"/>
      <c r="H70" s="42"/>
    </row>
    <row r="71" spans="1:17" hidden="1" x14ac:dyDescent="0.2">
      <c r="A71" s="42" t="s">
        <v>72</v>
      </c>
      <c r="B71" s="42"/>
      <c r="C71" s="42"/>
      <c r="D71" s="141">
        <v>2.5000000000000001E-2</v>
      </c>
      <c r="E71" s="42"/>
      <c r="F71" s="130"/>
      <c r="G71" s="42"/>
      <c r="H71" s="42"/>
    </row>
    <row r="72" spans="1:17" hidden="1" x14ac:dyDescent="0.2">
      <c r="A72" s="42" t="s">
        <v>57</v>
      </c>
      <c r="B72" s="42"/>
      <c r="C72" s="42"/>
      <c r="D72" s="42" t="e">
        <f>D71*D70</f>
        <v>#REF!</v>
      </c>
      <c r="E72" s="42" t="s">
        <v>71</v>
      </c>
      <c r="F72" s="130"/>
      <c r="G72" s="42"/>
      <c r="H72" s="66"/>
    </row>
    <row r="73" spans="1:17" hidden="1" x14ac:dyDescent="0.2">
      <c r="A73" s="42"/>
      <c r="B73" s="42"/>
      <c r="C73" s="42"/>
      <c r="D73" s="42"/>
      <c r="E73" s="42"/>
      <c r="F73" s="130"/>
      <c r="G73" s="42"/>
      <c r="H73" s="42"/>
    </row>
    <row r="74" spans="1:17" hidden="1" x14ac:dyDescent="0.2">
      <c r="A74" s="105" t="s">
        <v>184</v>
      </c>
      <c r="B74" s="105"/>
      <c r="C74" s="105"/>
      <c r="D74" s="105" t="e">
        <f>D70+D72</f>
        <v>#REF!</v>
      </c>
      <c r="E74" s="105" t="s">
        <v>130</v>
      </c>
      <c r="F74" s="134"/>
      <c r="G74" s="105"/>
      <c r="H74" s="42"/>
    </row>
    <row r="75" spans="1:17" hidden="1" x14ac:dyDescent="0.2">
      <c r="A75" s="42"/>
      <c r="B75" s="42"/>
      <c r="C75" s="42"/>
      <c r="D75" s="42"/>
      <c r="E75" s="42"/>
      <c r="F75" s="130"/>
      <c r="G75" s="42"/>
      <c r="H75" s="42"/>
    </row>
    <row r="76" spans="1:17" x14ac:dyDescent="0.2">
      <c r="A76" s="102" t="s">
        <v>540</v>
      </c>
      <c r="B76" s="42"/>
      <c r="C76" s="42"/>
      <c r="D76" s="42"/>
      <c r="E76" s="42"/>
      <c r="F76" s="130"/>
      <c r="G76" s="42"/>
      <c r="H76" s="42"/>
    </row>
    <row r="77" spans="1:17" x14ac:dyDescent="0.2">
      <c r="A77" s="102"/>
      <c r="B77" s="132"/>
      <c r="C77" s="132"/>
      <c r="D77" s="42"/>
      <c r="E77" s="42"/>
      <c r="F77" s="130"/>
      <c r="G77" s="42"/>
      <c r="H77" s="42"/>
    </row>
    <row r="78" spans="1:17" x14ac:dyDescent="0.2">
      <c r="A78" s="42" t="s">
        <v>68</v>
      </c>
      <c r="B78" s="42"/>
      <c r="C78" s="42"/>
      <c r="D78" s="42">
        <f>D23</f>
        <v>279026.4326464762</v>
      </c>
      <c r="E78" s="42" t="s">
        <v>37</v>
      </c>
      <c r="F78" s="130"/>
      <c r="G78" s="42"/>
      <c r="H78" s="42"/>
      <c r="I78" s="65">
        <f>D78/$D$83</f>
        <v>0.93452431866913233</v>
      </c>
    </row>
    <row r="79" spans="1:17" x14ac:dyDescent="0.2">
      <c r="A79" s="42" t="s">
        <v>164</v>
      </c>
      <c r="B79" s="42"/>
      <c r="C79" s="42"/>
      <c r="D79" s="42">
        <f>+D33</f>
        <v>17164.07</v>
      </c>
      <c r="E79" s="42" t="s">
        <v>37</v>
      </c>
      <c r="F79" s="130"/>
      <c r="G79" s="42"/>
      <c r="H79" s="42"/>
      <c r="I79" s="65">
        <f t="shared" ref="I79:I81" si="0">D79/$D$83</f>
        <v>5.7486456283738989E-2</v>
      </c>
    </row>
    <row r="80" spans="1:17" x14ac:dyDescent="0.2">
      <c r="A80" s="42" t="s">
        <v>67</v>
      </c>
      <c r="B80" s="42"/>
      <c r="C80" s="42"/>
      <c r="D80" s="42">
        <f>D41</f>
        <v>2385.39</v>
      </c>
      <c r="E80" s="42" t="s">
        <v>37</v>
      </c>
      <c r="F80" s="130"/>
      <c r="G80" s="42"/>
      <c r="H80" s="42"/>
      <c r="I80" s="65">
        <f t="shared" si="0"/>
        <v>7.9892250471285727E-3</v>
      </c>
    </row>
    <row r="81" spans="1:17" x14ac:dyDescent="0.2">
      <c r="A81" s="42" t="s">
        <v>498</v>
      </c>
      <c r="B81" s="42"/>
      <c r="C81" s="42"/>
      <c r="D81" s="42">
        <f>D63</f>
        <v>0</v>
      </c>
      <c r="E81" s="42" t="s">
        <v>37</v>
      </c>
      <c r="F81" s="130"/>
      <c r="G81" s="42"/>
      <c r="H81" s="42"/>
      <c r="I81" s="65">
        <f t="shared" si="0"/>
        <v>0</v>
      </c>
      <c r="J81" s="65"/>
    </row>
    <row r="82" spans="1:17" x14ac:dyDescent="0.2">
      <c r="A82" s="42"/>
      <c r="B82" s="42"/>
      <c r="C82" s="42"/>
      <c r="D82" s="42"/>
      <c r="E82" s="42"/>
      <c r="F82" s="130"/>
      <c r="G82" s="42"/>
      <c r="H82" s="42"/>
      <c r="I82" s="65">
        <f>I79+I80+I81</f>
        <v>6.5475681330867563E-2</v>
      </c>
    </row>
    <row r="83" spans="1:17" x14ac:dyDescent="0.2">
      <c r="A83" s="105" t="s">
        <v>185</v>
      </c>
      <c r="B83" s="105"/>
      <c r="C83" s="105"/>
      <c r="D83" s="105">
        <f>(SUM(D78:D81))</f>
        <v>298575.89264647622</v>
      </c>
      <c r="E83" s="105" t="s">
        <v>130</v>
      </c>
      <c r="F83" s="134"/>
      <c r="G83" s="105"/>
      <c r="H83" s="42"/>
      <c r="I83" s="1">
        <f>ROUND((D83/D88),2)</f>
        <v>104.9</v>
      </c>
    </row>
    <row r="84" spans="1:17" x14ac:dyDescent="0.2">
      <c r="A84" s="42"/>
      <c r="B84" s="42"/>
      <c r="C84" s="42"/>
      <c r="D84" s="42"/>
      <c r="E84" s="42"/>
      <c r="F84" s="130"/>
      <c r="G84" s="42"/>
      <c r="I84" s="127"/>
    </row>
    <row r="85" spans="1:17" s="94" customFormat="1" x14ac:dyDescent="0.2">
      <c r="A85" s="105" t="s">
        <v>376</v>
      </c>
      <c r="B85" s="144">
        <f>BDI!C12</f>
        <v>0.29709999999999998</v>
      </c>
      <c r="C85" s="105"/>
      <c r="D85" s="134">
        <f>D87-D83</f>
        <v>88706.897705268057</v>
      </c>
      <c r="E85" s="105" t="s">
        <v>130</v>
      </c>
      <c r="F85" s="134"/>
      <c r="G85" s="105"/>
      <c r="H85" s="38"/>
      <c r="I85" s="65"/>
      <c r="K85" s="120"/>
      <c r="O85" s="142"/>
      <c r="Q85" s="120"/>
    </row>
    <row r="86" spans="1:17" s="94" customFormat="1" x14ac:dyDescent="0.2">
      <c r="A86" s="42"/>
      <c r="B86" s="42"/>
      <c r="C86" s="42"/>
      <c r="D86" s="42"/>
      <c r="E86" s="42"/>
      <c r="F86" s="42"/>
      <c r="G86" s="42"/>
      <c r="H86" s="38"/>
      <c r="I86" s="65"/>
      <c r="K86" s="120"/>
      <c r="O86" s="142"/>
      <c r="Q86" s="120"/>
    </row>
    <row r="87" spans="1:17" x14ac:dyDescent="0.2">
      <c r="A87" s="143" t="s">
        <v>377</v>
      </c>
      <c r="B87" s="111"/>
      <c r="C87" s="111"/>
      <c r="D87" s="105">
        <f>(D83*(1+B85))</f>
        <v>387282.79035174428</v>
      </c>
      <c r="E87" s="105" t="s">
        <v>37</v>
      </c>
      <c r="F87" s="134"/>
      <c r="G87" s="105"/>
      <c r="H87" s="42"/>
      <c r="I87" s="145"/>
    </row>
    <row r="88" spans="1:17" x14ac:dyDescent="0.2">
      <c r="A88" s="112" t="s">
        <v>378</v>
      </c>
      <c r="B88" s="105"/>
      <c r="C88" s="105"/>
      <c r="D88" s="105">
        <f>2846.25</f>
        <v>2846.25</v>
      </c>
      <c r="E88" s="105" t="s">
        <v>45</v>
      </c>
      <c r="F88" s="134"/>
      <c r="G88" s="105"/>
      <c r="H88" s="42"/>
    </row>
    <row r="89" spans="1:17" x14ac:dyDescent="0.2">
      <c r="A89" s="112" t="s">
        <v>379</v>
      </c>
      <c r="B89" s="105"/>
      <c r="C89" s="105"/>
      <c r="D89" s="105">
        <f>ROUND(D87/D88,2)</f>
        <v>136.07</v>
      </c>
      <c r="E89" s="105" t="s">
        <v>86</v>
      </c>
      <c r="F89" s="134"/>
      <c r="G89" s="105"/>
      <c r="H89" s="1"/>
    </row>
    <row r="93" spans="1:17" x14ac:dyDescent="0.2">
      <c r="D93" s="42"/>
    </row>
    <row r="94" spans="1:17" x14ac:dyDescent="0.2">
      <c r="D94" s="39">
        <v>152591.32</v>
      </c>
      <c r="F94" s="130"/>
    </row>
    <row r="95" spans="1:17" x14ac:dyDescent="0.2">
      <c r="F95" s="130"/>
      <c r="H95" s="42"/>
    </row>
    <row r="97" spans="1:9" x14ac:dyDescent="0.2">
      <c r="A97" s="42" t="e">
        <f>A101/(1-#REF!)</f>
        <v>#REF!</v>
      </c>
      <c r="I97" s="65"/>
    </row>
    <row r="98" spans="1:9" x14ac:dyDescent="0.2">
      <c r="A98" s="42" t="e">
        <f>A97-A101</f>
        <v>#REF!</v>
      </c>
      <c r="B98" s="146"/>
      <c r="D98" s="42"/>
      <c r="F98" s="130"/>
      <c r="I98" s="65"/>
    </row>
    <row r="99" spans="1:9" x14ac:dyDescent="0.2">
      <c r="A99" s="42"/>
      <c r="B99" s="146"/>
      <c r="I99" s="65"/>
    </row>
    <row r="100" spans="1:9" x14ac:dyDescent="0.2">
      <c r="A100" s="42"/>
      <c r="F100" s="130"/>
      <c r="I100" s="65"/>
    </row>
    <row r="101" spans="1:9" x14ac:dyDescent="0.2">
      <c r="A101" s="42"/>
      <c r="B101" s="42"/>
      <c r="F101" s="130"/>
      <c r="I101" s="65"/>
    </row>
    <row r="102" spans="1:9" x14ac:dyDescent="0.2">
      <c r="A102" s="42" t="e">
        <f>A101-#REF!</f>
        <v>#REF!</v>
      </c>
      <c r="B102" s="42"/>
      <c r="D102" s="42"/>
      <c r="F102" s="130"/>
      <c r="I102" s="65"/>
    </row>
    <row r="103" spans="1:9" x14ac:dyDescent="0.2">
      <c r="A103" s="42"/>
      <c r="F103" s="130"/>
      <c r="I103" s="65"/>
    </row>
    <row r="104" spans="1:9" x14ac:dyDescent="0.2">
      <c r="A104" s="42"/>
      <c r="B104" s="42"/>
      <c r="F104" s="130"/>
      <c r="I104" s="65"/>
    </row>
    <row r="105" spans="1:9" x14ac:dyDescent="0.2">
      <c r="F105" s="130"/>
    </row>
    <row r="106" spans="1:9" x14ac:dyDescent="0.2">
      <c r="D106" s="42"/>
      <c r="F106" s="130"/>
    </row>
    <row r="108" spans="1:9" x14ac:dyDescent="0.2">
      <c r="D108" s="42"/>
    </row>
  </sheetData>
  <mergeCells count="3">
    <mergeCell ref="A7:E7"/>
    <mergeCell ref="A1:E1"/>
    <mergeCell ref="A2:E2"/>
  </mergeCells>
  <phoneticPr fontId="0" type="noConversion"/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view="pageBreakPreview" zoomScaleNormal="100" zoomScaleSheetLayoutView="100" workbookViewId="0">
      <selection activeCell="AA7" sqref="AA7"/>
    </sheetView>
  </sheetViews>
  <sheetFormatPr defaultColWidth="9.33203125" defaultRowHeight="32.1" customHeight="1" x14ac:dyDescent="0.2"/>
  <cols>
    <col min="1" max="1" width="41.6640625" style="153" customWidth="1"/>
    <col min="2" max="2" width="9.33203125" style="159"/>
    <col min="3" max="3" width="18.33203125" style="158" hidden="1" customWidth="1"/>
    <col min="4" max="4" width="18.33203125" style="158" customWidth="1"/>
    <col min="5" max="5" width="18.33203125" style="158" hidden="1" customWidth="1"/>
    <col min="6" max="6" width="9.33203125" style="153"/>
    <col min="7" max="13" width="0" style="153" hidden="1" customWidth="1"/>
    <col min="14" max="15" width="9.33203125" style="153"/>
    <col min="16" max="19" width="0" style="153" hidden="1" customWidth="1"/>
    <col min="20" max="16384" width="9.33203125" style="153"/>
  </cols>
  <sheetData>
    <row r="1" spans="1:19" ht="32.1" customHeight="1" x14ac:dyDescent="0.2">
      <c r="A1" s="229"/>
    </row>
    <row r="2" spans="1:19" ht="32.1" customHeight="1" x14ac:dyDescent="0.2">
      <c r="A2" s="229"/>
    </row>
    <row r="3" spans="1:19" s="164" customFormat="1" ht="45.2" customHeight="1" x14ac:dyDescent="0.2">
      <c r="A3" s="162" t="s">
        <v>96</v>
      </c>
      <c r="B3" s="162" t="s">
        <v>405</v>
      </c>
      <c r="C3" s="163" t="s">
        <v>406</v>
      </c>
      <c r="D3" s="163" t="s">
        <v>699</v>
      </c>
      <c r="E3" s="163" t="s">
        <v>407</v>
      </c>
      <c r="H3" s="164">
        <v>1.075</v>
      </c>
      <c r="J3" s="164">
        <f>(1212-1100)/1100</f>
        <v>0.10181818181818182</v>
      </c>
      <c r="L3" s="230">
        <f>J3/2</f>
        <v>5.0909090909090911E-2</v>
      </c>
      <c r="P3" s="162" t="s">
        <v>96</v>
      </c>
      <c r="Q3" s="162" t="s">
        <v>405</v>
      </c>
      <c r="R3" s="163" t="s">
        <v>406</v>
      </c>
      <c r="S3" s="163" t="s">
        <v>700</v>
      </c>
    </row>
    <row r="4" spans="1:19" ht="32.1" customHeight="1" x14ac:dyDescent="0.2">
      <c r="A4" s="165" t="s">
        <v>408</v>
      </c>
      <c r="B4" s="166" t="s">
        <v>37</v>
      </c>
      <c r="C4" s="167">
        <v>678</v>
      </c>
      <c r="D4" s="167">
        <v>1518</v>
      </c>
      <c r="E4" s="167">
        <f t="shared" ref="E4:E10" si="0">((D4-C4)/C4)*100</f>
        <v>123.8938053097345</v>
      </c>
      <c r="J4" s="153">
        <f>(998-954)/954</f>
        <v>4.6121593291404611E-2</v>
      </c>
      <c r="L4" s="231">
        <f>1+L3</f>
        <v>1.050909090909091</v>
      </c>
      <c r="P4" s="165" t="s">
        <v>408</v>
      </c>
      <c r="Q4" s="166" t="s">
        <v>37</v>
      </c>
      <c r="R4" s="167">
        <v>678</v>
      </c>
      <c r="S4" s="290">
        <v>1518</v>
      </c>
    </row>
    <row r="5" spans="1:19" ht="32.1" customHeight="1" x14ac:dyDescent="0.2">
      <c r="A5" s="165" t="s">
        <v>409</v>
      </c>
      <c r="B5" s="166" t="s">
        <v>37</v>
      </c>
      <c r="C5" s="167">
        <v>693.51</v>
      </c>
      <c r="D5" s="167">
        <v>1529.93</v>
      </c>
      <c r="E5" s="167">
        <f t="shared" si="0"/>
        <v>120.60676846765008</v>
      </c>
      <c r="H5" s="153">
        <v>880</v>
      </c>
      <c r="J5" s="153">
        <f>6.58/100</f>
        <v>6.5799999999999997E-2</v>
      </c>
      <c r="P5" s="291" t="s">
        <v>409</v>
      </c>
      <c r="Q5" s="166" t="s">
        <v>37</v>
      </c>
      <c r="R5" s="167">
        <v>693.51</v>
      </c>
      <c r="S5" s="290">
        <v>1528.65</v>
      </c>
    </row>
    <row r="6" spans="1:19" ht="32.1" customHeight="1" x14ac:dyDescent="0.2">
      <c r="A6" s="165" t="s">
        <v>445</v>
      </c>
      <c r="B6" s="166" t="s">
        <v>37</v>
      </c>
      <c r="C6" s="167">
        <f>1012*1.08</f>
        <v>1092.96</v>
      </c>
      <c r="D6" s="167">
        <f>2753.43*$H$3</f>
        <v>2959.9372499999995</v>
      </c>
      <c r="E6" s="167">
        <f t="shared" si="0"/>
        <v>170.81844257795339</v>
      </c>
      <c r="P6" s="291" t="s">
        <v>701</v>
      </c>
      <c r="Q6" s="166" t="s">
        <v>37</v>
      </c>
      <c r="R6" s="167"/>
      <c r="S6" s="290">
        <f>1495.29*1.075071</f>
        <v>1607.5429155900001</v>
      </c>
    </row>
    <row r="7" spans="1:19" ht="32.1" customHeight="1" x14ac:dyDescent="0.2">
      <c r="A7" s="165" t="s">
        <v>410</v>
      </c>
      <c r="B7" s="166" t="s">
        <v>37</v>
      </c>
      <c r="C7" s="167">
        <v>980</v>
      </c>
      <c r="D7" s="167">
        <f>3361.96*H3</f>
        <v>3614.107</v>
      </c>
      <c r="E7" s="167">
        <f t="shared" si="0"/>
        <v>268.78642857142859</v>
      </c>
      <c r="J7" s="153">
        <f>3.43/100</f>
        <v>3.4300000000000004E-2</v>
      </c>
      <c r="P7" s="291" t="s">
        <v>445</v>
      </c>
      <c r="Q7" s="166" t="s">
        <v>37</v>
      </c>
      <c r="R7" s="167">
        <f>1012*1.08</f>
        <v>1092.96</v>
      </c>
      <c r="S7" s="290">
        <v>2891.1</v>
      </c>
    </row>
    <row r="8" spans="1:19" ht="32.1" customHeight="1" x14ac:dyDescent="0.2">
      <c r="A8" s="165" t="s">
        <v>639</v>
      </c>
      <c r="B8" s="166" t="s">
        <v>37</v>
      </c>
      <c r="C8" s="167">
        <v>950</v>
      </c>
      <c r="D8" s="167">
        <f>1629.65*H3</f>
        <v>1751.87375</v>
      </c>
      <c r="E8" s="167">
        <f t="shared" si="0"/>
        <v>84.407763157894735</v>
      </c>
      <c r="J8" s="153">
        <f>1.81/100</f>
        <v>1.8100000000000002E-2</v>
      </c>
      <c r="P8" s="165" t="s">
        <v>410</v>
      </c>
      <c r="Q8" s="166" t="s">
        <v>37</v>
      </c>
      <c r="R8" s="167">
        <v>980</v>
      </c>
      <c r="S8" s="290">
        <f>3361.9577838066*(1+(0.05))</f>
        <v>3530.0556729969303</v>
      </c>
    </row>
    <row r="9" spans="1:19" ht="32.1" customHeight="1" x14ac:dyDescent="0.2">
      <c r="A9" s="165" t="s">
        <v>411</v>
      </c>
      <c r="B9" s="166" t="s">
        <v>37</v>
      </c>
      <c r="C9" s="167">
        <v>710</v>
      </c>
      <c r="D9" s="167">
        <f>1630.33*H3</f>
        <v>1752.6047499999997</v>
      </c>
      <c r="E9" s="167">
        <f t="shared" si="0"/>
        <v>146.84573943661968</v>
      </c>
      <c r="P9" s="165" t="s">
        <v>702</v>
      </c>
      <c r="Q9" s="166" t="s">
        <v>37</v>
      </c>
      <c r="R9" s="167">
        <v>950</v>
      </c>
      <c r="S9" s="290">
        <v>1638.39</v>
      </c>
    </row>
    <row r="10" spans="1:19" ht="32.1" customHeight="1" x14ac:dyDescent="0.2">
      <c r="A10" s="165" t="s">
        <v>412</v>
      </c>
      <c r="B10" s="166" t="s">
        <v>37</v>
      </c>
      <c r="C10" s="167">
        <v>2800</v>
      </c>
      <c r="D10" s="167">
        <f>5000*H3</f>
        <v>5375</v>
      </c>
      <c r="E10" s="167">
        <f t="shared" si="0"/>
        <v>91.964285714285708</v>
      </c>
      <c r="P10" s="165" t="s">
        <v>411</v>
      </c>
      <c r="Q10" s="166" t="s">
        <v>37</v>
      </c>
      <c r="R10" s="167">
        <v>710</v>
      </c>
      <c r="S10" s="290">
        <v>1638.39</v>
      </c>
    </row>
    <row r="11" spans="1:19" ht="32.1" hidden="1" customHeight="1" x14ac:dyDescent="0.2">
      <c r="A11" s="165"/>
      <c r="B11" s="166"/>
      <c r="C11" s="167"/>
      <c r="D11" s="167"/>
      <c r="E11" s="167"/>
      <c r="P11" s="165" t="s">
        <v>412</v>
      </c>
      <c r="Q11" s="166" t="s">
        <v>37</v>
      </c>
      <c r="R11" s="167">
        <v>2800</v>
      </c>
      <c r="S11" s="290">
        <v>7500</v>
      </c>
    </row>
    <row r="12" spans="1:19" ht="32.1" hidden="1" customHeight="1" x14ac:dyDescent="0.2">
      <c r="A12" s="165" t="s">
        <v>413</v>
      </c>
      <c r="B12" s="166"/>
      <c r="C12" s="167"/>
      <c r="D12" s="168">
        <v>0.4</v>
      </c>
      <c r="E12" s="167"/>
      <c r="P12" s="165" t="s">
        <v>703</v>
      </c>
      <c r="Q12" s="166" t="s">
        <v>37</v>
      </c>
      <c r="R12" s="167"/>
      <c r="S12" s="290">
        <f>2357.2*(1.0371)</f>
        <v>2444.6521199999997</v>
      </c>
    </row>
    <row r="13" spans="1:19" ht="32.1" hidden="1" customHeight="1" x14ac:dyDescent="0.2">
      <c r="A13" s="165" t="s">
        <v>414</v>
      </c>
      <c r="B13" s="166"/>
      <c r="C13" s="167"/>
      <c r="D13" s="168">
        <v>0.2</v>
      </c>
      <c r="E13" s="167"/>
      <c r="P13" s="165" t="s">
        <v>704</v>
      </c>
      <c r="Q13" s="166" t="s">
        <v>37</v>
      </c>
      <c r="R13" s="167"/>
      <c r="S13" s="290">
        <f>S4*1.25</f>
        <v>1897.5</v>
      </c>
    </row>
    <row r="14" spans="1:19" ht="32.1" hidden="1" customHeight="1" x14ac:dyDescent="0.2">
      <c r="A14" s="165" t="s">
        <v>415</v>
      </c>
      <c r="B14" s="166"/>
      <c r="C14" s="167"/>
      <c r="D14" s="168">
        <v>0.82530000000000003</v>
      </c>
      <c r="E14" s="167"/>
      <c r="P14" s="165"/>
      <c r="Q14" s="166" t="s">
        <v>37</v>
      </c>
      <c r="R14" s="167"/>
      <c r="S14" s="292"/>
    </row>
    <row r="15" spans="1:19" ht="32.1" hidden="1" customHeight="1" x14ac:dyDescent="0.2">
      <c r="A15" s="165" t="s">
        <v>416</v>
      </c>
      <c r="B15" s="166"/>
      <c r="C15" s="167"/>
      <c r="D15" s="168">
        <v>0.2</v>
      </c>
      <c r="E15" s="167"/>
      <c r="P15" s="165"/>
      <c r="Q15" s="166" t="s">
        <v>37</v>
      </c>
      <c r="R15" s="167"/>
      <c r="S15" s="292"/>
    </row>
    <row r="16" spans="1:19" ht="32.1" hidden="1" customHeight="1" x14ac:dyDescent="0.2">
      <c r="A16" s="165" t="s">
        <v>417</v>
      </c>
      <c r="B16" s="166"/>
      <c r="C16" s="167"/>
      <c r="D16" s="167"/>
      <c r="E16" s="167"/>
      <c r="P16" s="165"/>
      <c r="Q16" s="166" t="s">
        <v>37</v>
      </c>
      <c r="R16" s="167"/>
      <c r="S16" s="292"/>
    </row>
    <row r="17" spans="1:19" ht="32.1" hidden="1" customHeight="1" x14ac:dyDescent="0.2">
      <c r="A17" s="165" t="s">
        <v>418</v>
      </c>
      <c r="B17" s="166"/>
      <c r="C17" s="167"/>
      <c r="D17" s="167"/>
      <c r="E17" s="167"/>
      <c r="P17" s="165" t="s">
        <v>705</v>
      </c>
      <c r="Q17" s="166" t="s">
        <v>37</v>
      </c>
      <c r="R17" s="167"/>
      <c r="S17" s="290">
        <v>78.59</v>
      </c>
    </row>
    <row r="18" spans="1:19" ht="32.1" customHeight="1" x14ac:dyDescent="0.2">
      <c r="A18" s="165" t="s">
        <v>706</v>
      </c>
      <c r="B18" s="166" t="s">
        <v>37</v>
      </c>
      <c r="C18" s="167">
        <v>5.09</v>
      </c>
      <c r="D18" s="167">
        <v>373.56</v>
      </c>
      <c r="E18" s="167">
        <f>((D18-C18)/C18)*100</f>
        <v>7239.0962671905709</v>
      </c>
      <c r="P18" s="165" t="s">
        <v>418</v>
      </c>
      <c r="Q18" s="166" t="s">
        <v>37</v>
      </c>
      <c r="R18" s="167"/>
      <c r="S18" s="290"/>
    </row>
    <row r="19" spans="1:19" ht="32.1" customHeight="1" x14ac:dyDescent="0.2">
      <c r="A19" s="165" t="s">
        <v>707</v>
      </c>
      <c r="B19" s="166" t="s">
        <v>37</v>
      </c>
      <c r="C19" s="167">
        <v>5.09</v>
      </c>
      <c r="D19" s="167">
        <f>D18</f>
        <v>373.56</v>
      </c>
      <c r="E19" s="167">
        <f>((D19-C19)/C19)*100</f>
        <v>7239.0962671905709</v>
      </c>
      <c r="P19" s="165" t="s">
        <v>706</v>
      </c>
      <c r="Q19" s="166" t="s">
        <v>37</v>
      </c>
      <c r="R19" s="167">
        <v>5.09</v>
      </c>
      <c r="S19" s="290">
        <v>532.04999999999995</v>
      </c>
    </row>
    <row r="20" spans="1:19" ht="32.1" customHeight="1" x14ac:dyDescent="0.2">
      <c r="A20" s="165" t="s">
        <v>447</v>
      </c>
      <c r="B20" s="166" t="s">
        <v>205</v>
      </c>
      <c r="C20" s="167">
        <v>2.89</v>
      </c>
      <c r="D20" s="232">
        <v>6.56</v>
      </c>
      <c r="E20" s="167">
        <f>((D20-C20)/C20)*100</f>
        <v>126.9896193771626</v>
      </c>
      <c r="P20" s="165" t="s">
        <v>707</v>
      </c>
      <c r="Q20" s="166" t="s">
        <v>37</v>
      </c>
      <c r="R20" s="167">
        <v>5.09</v>
      </c>
      <c r="S20" s="290">
        <v>390</v>
      </c>
    </row>
    <row r="21" spans="1:19" ht="32.1" customHeight="1" x14ac:dyDescent="0.2">
      <c r="A21" s="169" t="s">
        <v>448</v>
      </c>
      <c r="B21" s="166" t="s">
        <v>205</v>
      </c>
      <c r="C21" s="167">
        <v>2.2000000000000002</v>
      </c>
      <c r="D21" s="232">
        <v>6.24</v>
      </c>
      <c r="E21" s="167">
        <f>((D21-C21)/C21)*100</f>
        <v>183.63636363636363</v>
      </c>
      <c r="P21" s="165" t="s">
        <v>447</v>
      </c>
      <c r="Q21" s="166" t="s">
        <v>37</v>
      </c>
      <c r="R21" s="167">
        <v>2.89</v>
      </c>
      <c r="S21" s="293">
        <v>6.56</v>
      </c>
    </row>
    <row r="22" spans="1:19" ht="32.1" customHeight="1" x14ac:dyDescent="0.2">
      <c r="A22" s="153" t="s">
        <v>708</v>
      </c>
      <c r="P22" s="169" t="s">
        <v>448</v>
      </c>
      <c r="Q22" s="166" t="s">
        <v>205</v>
      </c>
      <c r="R22" s="167">
        <v>2.2000000000000002</v>
      </c>
      <c r="S22" s="293">
        <v>6.24</v>
      </c>
    </row>
    <row r="23" spans="1:19" ht="32.1" customHeight="1" x14ac:dyDescent="0.2">
      <c r="A23" s="332" t="s">
        <v>709</v>
      </c>
      <c r="B23" s="332"/>
      <c r="C23" s="332"/>
      <c r="D23" s="332"/>
    </row>
    <row r="24" spans="1:19" ht="39.950000000000003" customHeight="1" x14ac:dyDescent="0.2">
      <c r="A24" s="153" t="s">
        <v>446</v>
      </c>
      <c r="B24" s="228"/>
      <c r="C24" s="228"/>
      <c r="D24" s="228"/>
      <c r="E24" s="228"/>
    </row>
  </sheetData>
  <mergeCells count="1">
    <mergeCell ref="A23:D23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nrjambiental05@gmail.com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"/>
  <dimension ref="A1:Q118"/>
  <sheetViews>
    <sheetView view="pageBreakPreview" topLeftCell="A58" zoomScaleSheetLayoutView="100" workbookViewId="0">
      <selection activeCell="D97" sqref="D97"/>
    </sheetView>
  </sheetViews>
  <sheetFormatPr defaultColWidth="12" defaultRowHeight="12.75" x14ac:dyDescent="0.2"/>
  <cols>
    <col min="1" max="1" width="50.83203125" style="13" customWidth="1"/>
    <col min="2" max="2" width="10.83203125" style="13" customWidth="1"/>
    <col min="3" max="3" width="5.83203125" style="13" customWidth="1"/>
    <col min="4" max="4" width="14.83203125" style="13" customWidth="1"/>
    <col min="5" max="5" width="10.83203125" style="13" customWidth="1"/>
    <col min="6" max="6" width="14.83203125" style="13" customWidth="1"/>
    <col min="7" max="7" width="10.83203125" style="13" customWidth="1"/>
    <col min="8" max="16384" width="12" style="11"/>
  </cols>
  <sheetData>
    <row r="1" spans="1:12" ht="18.75" hidden="1" x14ac:dyDescent="0.3">
      <c r="A1" s="335" t="s">
        <v>215</v>
      </c>
      <c r="B1" s="335"/>
      <c r="C1" s="335"/>
      <c r="D1" s="335"/>
      <c r="E1" s="335"/>
      <c r="F1" s="10"/>
      <c r="G1" s="11"/>
    </row>
    <row r="2" spans="1:12" ht="18" hidden="1" customHeight="1" x14ac:dyDescent="0.25">
      <c r="A2" s="335"/>
      <c r="B2" s="335"/>
      <c r="C2" s="335"/>
      <c r="D2" s="335"/>
      <c r="E2" s="335"/>
      <c r="F2" s="12"/>
      <c r="G2" s="11"/>
    </row>
    <row r="3" spans="1:12" hidden="1" x14ac:dyDescent="0.2">
      <c r="G3" s="11"/>
    </row>
    <row r="4" spans="1:12" hidden="1" x14ac:dyDescent="0.2">
      <c r="G4" s="11"/>
    </row>
    <row r="5" spans="1:12" hidden="1" x14ac:dyDescent="0.2">
      <c r="A5" s="14" t="s">
        <v>217</v>
      </c>
      <c r="D5" s="14" t="s">
        <v>211</v>
      </c>
      <c r="G5" s="11"/>
    </row>
    <row r="6" spans="1:12" x14ac:dyDescent="0.2">
      <c r="G6" s="11"/>
    </row>
    <row r="7" spans="1:12" x14ac:dyDescent="0.2">
      <c r="A7" s="336" t="s">
        <v>0</v>
      </c>
      <c r="B7" s="336"/>
      <c r="C7" s="336"/>
      <c r="D7" s="336"/>
      <c r="E7" s="336"/>
      <c r="F7" s="68"/>
      <c r="G7" s="11"/>
    </row>
    <row r="8" spans="1:12" x14ac:dyDescent="0.2">
      <c r="A8" s="16"/>
      <c r="B8" s="16"/>
      <c r="C8" s="16"/>
      <c r="D8" s="16"/>
      <c r="E8" s="16"/>
      <c r="F8" s="16"/>
      <c r="G8" s="16"/>
    </row>
    <row r="9" spans="1:12" x14ac:dyDescent="0.2">
      <c r="A9" s="69" t="s">
        <v>564</v>
      </c>
      <c r="B9" s="69"/>
      <c r="C9" s="69"/>
      <c r="D9" s="18"/>
      <c r="E9" s="18"/>
      <c r="F9" s="18"/>
      <c r="G9" s="18"/>
    </row>
    <row r="10" spans="1:12" x14ac:dyDescent="0.2">
      <c r="A10" s="69"/>
      <c r="B10" s="69"/>
      <c r="C10" s="69"/>
      <c r="D10" s="18"/>
      <c r="E10" s="18"/>
      <c r="F10" s="18"/>
      <c r="G10" s="18"/>
    </row>
    <row r="11" spans="1:12" s="34" customFormat="1" x14ac:dyDescent="0.2">
      <c r="A11" s="80" t="s">
        <v>34</v>
      </c>
      <c r="B11" s="80"/>
      <c r="C11" s="80"/>
      <c r="D11" s="18"/>
      <c r="E11" s="18"/>
      <c r="F11" s="18"/>
      <c r="G11" s="18"/>
    </row>
    <row r="12" spans="1:12" x14ac:dyDescent="0.2">
      <c r="A12" s="16"/>
      <c r="B12" s="16"/>
      <c r="C12" s="16"/>
      <c r="D12" s="85" t="s">
        <v>159</v>
      </c>
      <c r="E12" s="86"/>
      <c r="F12" s="85" t="s">
        <v>160</v>
      </c>
      <c r="G12" s="16"/>
    </row>
    <row r="13" spans="1:12" x14ac:dyDescent="0.2">
      <c r="A13" s="70" t="s">
        <v>88</v>
      </c>
      <c r="C13" s="70"/>
      <c r="D13" s="16">
        <f>((8*3)+(4*2))+4</f>
        <v>36</v>
      </c>
      <c r="E13" s="16" t="s">
        <v>35</v>
      </c>
      <c r="F13" s="16">
        <f>6+1</f>
        <v>7</v>
      </c>
      <c r="G13" s="16" t="s">
        <v>35</v>
      </c>
      <c r="K13" s="11">
        <v>9</v>
      </c>
      <c r="L13" s="11">
        <f>K13*3</f>
        <v>27</v>
      </c>
    </row>
    <row r="14" spans="1:12" x14ac:dyDescent="0.2">
      <c r="A14" s="70" t="s">
        <v>462</v>
      </c>
      <c r="B14" s="61"/>
      <c r="C14" s="61"/>
      <c r="D14" s="16">
        <f>COLETOR!B32</f>
        <v>4484.9060142857152</v>
      </c>
      <c r="E14" s="61" t="s">
        <v>36</v>
      </c>
      <c r="F14" s="16">
        <f>+COLETOR!B59</f>
        <v>4871.7265442857151</v>
      </c>
      <c r="G14" s="61" t="s">
        <v>36</v>
      </c>
      <c r="K14" s="11">
        <v>3</v>
      </c>
      <c r="L14" s="11">
        <f>K14*2</f>
        <v>6</v>
      </c>
    </row>
    <row r="15" spans="1:12" x14ac:dyDescent="0.2">
      <c r="A15" s="70" t="s">
        <v>463</v>
      </c>
      <c r="B15" s="61"/>
      <c r="C15" s="61"/>
      <c r="D15" s="16">
        <f>ROUND(+D14*D13,2)</f>
        <v>161456.62</v>
      </c>
      <c r="E15" s="16" t="s">
        <v>37</v>
      </c>
      <c r="F15" s="16">
        <f>ROUND(+F14*F13,2)</f>
        <v>34102.089999999997</v>
      </c>
      <c r="G15" s="16" t="s">
        <v>37</v>
      </c>
      <c r="K15" s="11">
        <v>2</v>
      </c>
      <c r="L15" s="11">
        <f>K15*3</f>
        <v>6</v>
      </c>
    </row>
    <row r="16" spans="1:12" x14ac:dyDescent="0.2">
      <c r="A16" s="104" t="s">
        <v>461</v>
      </c>
      <c r="B16" s="61"/>
      <c r="C16" s="61"/>
      <c r="D16" s="16">
        <f>ROUND((((D13*(D14/220)*1.5)*4*4)+(D13*((D14/220)*2)*8*1)),2)</f>
        <v>29355.75</v>
      </c>
      <c r="E16" s="16" t="s">
        <v>37</v>
      </c>
      <c r="F16" s="16">
        <f>ROUND(((F13*(F14/220)*1.5)*4*4)+(F13*((F14/220)*2)*8*1),2)</f>
        <v>6200.38</v>
      </c>
      <c r="G16" s="16" t="s">
        <v>37</v>
      </c>
    </row>
    <row r="17" spans="1:7" x14ac:dyDescent="0.2">
      <c r="A17" s="70" t="s">
        <v>92</v>
      </c>
      <c r="B17" s="70"/>
      <c r="C17" s="70"/>
      <c r="D17" s="16">
        <f>ROUND(SUM(D15:D16),2)</f>
        <v>190812.37</v>
      </c>
      <c r="E17" s="16" t="s">
        <v>43</v>
      </c>
      <c r="F17" s="16">
        <f>ROUND(SUM(F15:F16),2)</f>
        <v>40302.47</v>
      </c>
      <c r="G17" s="16" t="s">
        <v>43</v>
      </c>
    </row>
    <row r="18" spans="1:7" x14ac:dyDescent="0.2">
      <c r="A18" s="61"/>
      <c r="B18" s="61"/>
      <c r="C18" s="61"/>
      <c r="D18" s="16"/>
      <c r="E18" s="16"/>
    </row>
    <row r="19" spans="1:7" x14ac:dyDescent="0.2">
      <c r="A19" s="61" t="s">
        <v>38</v>
      </c>
      <c r="B19" s="61"/>
      <c r="C19" s="61"/>
      <c r="D19" s="16">
        <v>1</v>
      </c>
      <c r="E19" s="16" t="s">
        <v>35</v>
      </c>
      <c r="F19" s="16"/>
      <c r="G19" s="16" t="s">
        <v>35</v>
      </c>
    </row>
    <row r="20" spans="1:7" x14ac:dyDescent="0.2">
      <c r="A20" s="16" t="s">
        <v>310</v>
      </c>
      <c r="B20" s="16"/>
      <c r="C20" s="16"/>
      <c r="D20" s="16">
        <f>'ENC I'!B32</f>
        <v>9061.6866043333339</v>
      </c>
      <c r="E20" s="16" t="s">
        <v>36</v>
      </c>
      <c r="F20" s="16">
        <f>'ENC I'!B59</f>
        <v>9715.8399713333329</v>
      </c>
      <c r="G20" s="61" t="s">
        <v>36</v>
      </c>
    </row>
    <row r="21" spans="1:7" x14ac:dyDescent="0.2">
      <c r="A21" s="16" t="s">
        <v>309</v>
      </c>
      <c r="B21" s="16"/>
      <c r="C21" s="16"/>
      <c r="D21" s="16">
        <f>ROUND(+D20*D19,2)</f>
        <v>9061.69</v>
      </c>
      <c r="E21" s="16" t="s">
        <v>37</v>
      </c>
      <c r="F21" s="16">
        <f>ROUND(+F20*F19,2)</f>
        <v>0</v>
      </c>
      <c r="G21" s="16" t="s">
        <v>37</v>
      </c>
    </row>
    <row r="22" spans="1:7" x14ac:dyDescent="0.2">
      <c r="A22" s="104" t="s">
        <v>461</v>
      </c>
      <c r="B22" s="61"/>
      <c r="C22" s="61"/>
      <c r="D22" s="16">
        <f>ROUND((((D19*(D20/220)*1.5)*4*4)+(D19*((D20/220)*2)*8*1)),2)</f>
        <v>1647.58</v>
      </c>
      <c r="E22" s="16" t="s">
        <v>37</v>
      </c>
      <c r="F22" s="16">
        <f>ROUND((((F19*(F19/220)*1.5)*4*4)+(F19*((F20/220)*2)*8*1)),2)</f>
        <v>0</v>
      </c>
      <c r="G22" s="16" t="s">
        <v>37</v>
      </c>
    </row>
    <row r="23" spans="1:7" x14ac:dyDescent="0.2">
      <c r="A23" s="16" t="s">
        <v>48</v>
      </c>
      <c r="B23" s="16"/>
      <c r="C23" s="16"/>
      <c r="D23" s="16">
        <f>ROUND(SUM(D21:D22),2)</f>
        <v>10709.27</v>
      </c>
      <c r="E23" s="16" t="s">
        <v>43</v>
      </c>
      <c r="F23" s="16">
        <f>ROUND(SUM(F21:F22),2)</f>
        <v>0</v>
      </c>
      <c r="G23" s="16" t="s">
        <v>43</v>
      </c>
    </row>
    <row r="24" spans="1:7" x14ac:dyDescent="0.2">
      <c r="A24" s="16"/>
      <c r="B24" s="16"/>
      <c r="C24" s="16"/>
      <c r="D24" s="16"/>
      <c r="E24" s="16"/>
      <c r="F24" s="16"/>
    </row>
    <row r="25" spans="1:7" x14ac:dyDescent="0.2">
      <c r="A25" s="61" t="s">
        <v>49</v>
      </c>
      <c r="B25" s="61"/>
      <c r="C25" s="61"/>
      <c r="D25" s="16">
        <f>12+2</f>
        <v>14</v>
      </c>
      <c r="E25" s="16" t="s">
        <v>35</v>
      </c>
      <c r="F25" s="16">
        <v>2</v>
      </c>
      <c r="G25" s="16" t="s">
        <v>35</v>
      </c>
    </row>
    <row r="26" spans="1:7" x14ac:dyDescent="0.2">
      <c r="A26" s="70" t="s">
        <v>464</v>
      </c>
      <c r="B26" s="61"/>
      <c r="C26" s="61"/>
      <c r="D26" s="16">
        <f>MOTORISTA!B32</f>
        <v>6484.3952558333331</v>
      </c>
      <c r="E26" s="16" t="s">
        <v>36</v>
      </c>
      <c r="F26" s="16">
        <f>+MOTORISTA!B58</f>
        <v>7222.7705586458324</v>
      </c>
      <c r="G26" s="61" t="s">
        <v>36</v>
      </c>
    </row>
    <row r="27" spans="1:7" x14ac:dyDescent="0.2">
      <c r="A27" s="70" t="s">
        <v>465</v>
      </c>
      <c r="B27" s="61"/>
      <c r="C27" s="61"/>
      <c r="D27" s="16">
        <f>ROUND(+D26*D25,2)</f>
        <v>90781.53</v>
      </c>
      <c r="E27" s="16" t="s">
        <v>37</v>
      </c>
      <c r="F27" s="16">
        <f>ROUND(+F26*F25,2)</f>
        <v>14445.54</v>
      </c>
      <c r="G27" s="16" t="s">
        <v>37</v>
      </c>
    </row>
    <row r="28" spans="1:7" x14ac:dyDescent="0.2">
      <c r="A28" s="104" t="s">
        <v>461</v>
      </c>
      <c r="B28" s="61"/>
      <c r="C28" s="61"/>
      <c r="D28" s="16">
        <f>ROUND((((D25*(D26/220)*1.5)*4*4)+(D25*((D26/220)*2)*8*1)),2)</f>
        <v>16505.73</v>
      </c>
      <c r="E28" s="16" t="s">
        <v>37</v>
      </c>
      <c r="F28" s="16">
        <f>ROUND((((F25*(F26/220)*1.5)*4*4)+(F25*((F26/220)*2)*8*1)),2)</f>
        <v>2626.46</v>
      </c>
      <c r="G28" s="16" t="s">
        <v>37</v>
      </c>
    </row>
    <row r="29" spans="1:7" x14ac:dyDescent="0.2">
      <c r="A29" s="70" t="s">
        <v>52</v>
      </c>
      <c r="B29" s="70"/>
      <c r="C29" s="70"/>
      <c r="D29" s="16">
        <f>ROUND(SUM(D27:D28),2)</f>
        <v>107287.26</v>
      </c>
      <c r="E29" s="16" t="s">
        <v>43</v>
      </c>
      <c r="F29" s="16">
        <f>ROUND(SUM(F27:F28),2)</f>
        <v>17072</v>
      </c>
      <c r="G29" s="16" t="s">
        <v>43</v>
      </c>
    </row>
    <row r="30" spans="1:7" x14ac:dyDescent="0.2">
      <c r="A30" s="16"/>
      <c r="B30" s="16"/>
      <c r="C30" s="16"/>
      <c r="D30" s="16"/>
      <c r="E30" s="16"/>
      <c r="G30" s="16"/>
    </row>
    <row r="31" spans="1:7" x14ac:dyDescent="0.2">
      <c r="A31" s="31" t="s">
        <v>181</v>
      </c>
      <c r="B31" s="31"/>
      <c r="C31" s="31"/>
      <c r="D31" s="31">
        <f>D17+D23+D29+F17+F23+F29</f>
        <v>366183.37</v>
      </c>
      <c r="E31" s="31" t="s">
        <v>130</v>
      </c>
      <c r="G31" s="16"/>
    </row>
    <row r="32" spans="1:7" x14ac:dyDescent="0.2">
      <c r="A32" s="16"/>
      <c r="B32" s="16"/>
      <c r="C32" s="16"/>
      <c r="D32" s="16"/>
      <c r="E32" s="16"/>
      <c r="G32" s="16"/>
    </row>
    <row r="33" spans="1:10" x14ac:dyDescent="0.2">
      <c r="A33" s="87" t="s">
        <v>87</v>
      </c>
      <c r="B33" s="75"/>
      <c r="C33" s="75"/>
      <c r="D33" s="18"/>
      <c r="E33" s="16"/>
      <c r="F33" s="16"/>
      <c r="G33" s="16"/>
    </row>
    <row r="34" spans="1:10" x14ac:dyDescent="0.2">
      <c r="A34" s="16"/>
      <c r="B34" s="16"/>
      <c r="C34" s="16"/>
      <c r="D34" s="85" t="s">
        <v>423</v>
      </c>
      <c r="E34" s="85"/>
      <c r="F34" s="85" t="s">
        <v>422</v>
      </c>
      <c r="G34" s="16"/>
    </row>
    <row r="35" spans="1:10" x14ac:dyDescent="0.2">
      <c r="A35" s="70" t="s">
        <v>686</v>
      </c>
      <c r="B35" s="70"/>
      <c r="C35" s="70"/>
      <c r="D35" s="16">
        <v>4</v>
      </c>
      <c r="E35" s="16" t="s">
        <v>35</v>
      </c>
      <c r="F35" s="16"/>
      <c r="G35" s="16"/>
    </row>
    <row r="36" spans="1:10" x14ac:dyDescent="0.2">
      <c r="A36" s="16" t="s">
        <v>318</v>
      </c>
      <c r="B36" s="16"/>
      <c r="C36" s="16"/>
      <c r="D36" s="16">
        <f>'comp 8'!B62</f>
        <v>32471.575580092773</v>
      </c>
      <c r="E36" s="16" t="s">
        <v>36</v>
      </c>
      <c r="F36" s="16"/>
      <c r="G36" s="16"/>
    </row>
    <row r="37" spans="1:10" x14ac:dyDescent="0.2">
      <c r="A37" s="70" t="s">
        <v>93</v>
      </c>
      <c r="B37" s="70"/>
      <c r="C37" s="70"/>
      <c r="D37" s="16">
        <f>D35*D36</f>
        <v>129886.30232037109</v>
      </c>
      <c r="E37" s="16" t="s">
        <v>37</v>
      </c>
      <c r="F37" s="16"/>
      <c r="G37" s="16"/>
    </row>
    <row r="38" spans="1:10" x14ac:dyDescent="0.2">
      <c r="A38" s="61"/>
      <c r="B38" s="61"/>
      <c r="C38" s="61"/>
      <c r="D38" s="16"/>
      <c r="E38" s="16"/>
      <c r="F38" s="16"/>
      <c r="G38" s="16"/>
    </row>
    <row r="39" spans="1:10" x14ac:dyDescent="0.2">
      <c r="A39" s="70" t="s">
        <v>687</v>
      </c>
      <c r="B39" s="70"/>
      <c r="C39" s="70"/>
      <c r="D39" s="16">
        <v>1</v>
      </c>
      <c r="E39" s="16" t="s">
        <v>35</v>
      </c>
      <c r="F39" s="16"/>
      <c r="G39" s="16"/>
    </row>
    <row r="40" spans="1:10" x14ac:dyDescent="0.2">
      <c r="A40" s="16" t="s">
        <v>318</v>
      </c>
      <c r="B40" s="16"/>
      <c r="C40" s="16"/>
      <c r="D40" s="16">
        <f>RESERVA8!B62</f>
        <v>30525.965097588716</v>
      </c>
      <c r="E40" s="16" t="s">
        <v>36</v>
      </c>
      <c r="F40" s="16"/>
      <c r="G40" s="16"/>
      <c r="J40" s="11">
        <v>308</v>
      </c>
    </row>
    <row r="41" spans="1:10" x14ac:dyDescent="0.2">
      <c r="A41" s="70" t="s">
        <v>93</v>
      </c>
      <c r="B41" s="61"/>
      <c r="C41" s="61"/>
      <c r="D41" s="16">
        <f>ROUND(+D40*D39,2)</f>
        <v>30525.97</v>
      </c>
      <c r="E41" s="16" t="s">
        <v>37</v>
      </c>
      <c r="F41" s="16"/>
      <c r="G41" s="16"/>
      <c r="J41" s="11">
        <v>20</v>
      </c>
    </row>
    <row r="42" spans="1:10" x14ac:dyDescent="0.2">
      <c r="A42" s="70"/>
      <c r="B42" s="70"/>
      <c r="C42" s="70"/>
      <c r="D42" s="16"/>
      <c r="E42" s="16"/>
      <c r="F42" s="16"/>
      <c r="G42" s="16"/>
    </row>
    <row r="43" spans="1:10" x14ac:dyDescent="0.2">
      <c r="A43" s="70" t="s">
        <v>165</v>
      </c>
      <c r="B43" s="70"/>
      <c r="C43" s="70"/>
      <c r="D43" s="16">
        <v>8</v>
      </c>
      <c r="E43" s="16" t="s">
        <v>35</v>
      </c>
      <c r="F43" s="16">
        <v>2</v>
      </c>
      <c r="G43" s="16" t="s">
        <v>35</v>
      </c>
    </row>
    <row r="44" spans="1:10" x14ac:dyDescent="0.2">
      <c r="A44" s="16" t="s">
        <v>318</v>
      </c>
      <c r="B44" s="16"/>
      <c r="C44" s="16"/>
      <c r="D44" s="16">
        <f>'COMPACTADOR 15 m3'!B62</f>
        <v>35893.24504521527</v>
      </c>
      <c r="E44" s="16" t="s">
        <v>36</v>
      </c>
      <c r="F44" s="16">
        <f>'COMP NOTURNO'!B64</f>
        <v>4902.6915713833323</v>
      </c>
      <c r="G44" s="16" t="s">
        <v>36</v>
      </c>
    </row>
    <row r="45" spans="1:10" x14ac:dyDescent="0.2">
      <c r="A45" s="70" t="s">
        <v>93</v>
      </c>
      <c r="B45" s="70"/>
      <c r="C45" s="70"/>
      <c r="D45" s="16">
        <f>ROUND(+D44*D43,2)</f>
        <v>287145.96000000002</v>
      </c>
      <c r="E45" s="16" t="s">
        <v>37</v>
      </c>
      <c r="F45" s="16">
        <f>F43*F44</f>
        <v>9805.3831427666646</v>
      </c>
      <c r="G45" s="16" t="s">
        <v>37</v>
      </c>
    </row>
    <row r="46" spans="1:10" x14ac:dyDescent="0.2">
      <c r="A46" s="16"/>
      <c r="B46" s="16"/>
      <c r="C46" s="16"/>
      <c r="D46" s="16"/>
      <c r="E46" s="16"/>
      <c r="F46" s="16"/>
      <c r="G46" s="16"/>
    </row>
    <row r="47" spans="1:10" x14ac:dyDescent="0.2">
      <c r="A47" s="70" t="s">
        <v>685</v>
      </c>
      <c r="B47" s="70"/>
      <c r="C47" s="70"/>
      <c r="D47" s="16">
        <v>1</v>
      </c>
      <c r="E47" s="16" t="s">
        <v>35</v>
      </c>
      <c r="F47" s="16"/>
      <c r="G47" s="16"/>
    </row>
    <row r="48" spans="1:10" x14ac:dyDescent="0.2">
      <c r="A48" s="16" t="s">
        <v>318</v>
      </c>
      <c r="B48" s="16"/>
      <c r="C48" s="16"/>
      <c r="D48" s="16">
        <f>reserva15!B62</f>
        <v>33746.068022607637</v>
      </c>
      <c r="E48" s="16" t="s">
        <v>36</v>
      </c>
      <c r="F48" s="16"/>
      <c r="G48" s="16"/>
    </row>
    <row r="49" spans="1:7" x14ac:dyDescent="0.2">
      <c r="A49" s="70" t="s">
        <v>93</v>
      </c>
      <c r="B49" s="70"/>
      <c r="C49" s="70"/>
      <c r="D49" s="16">
        <f>D47*D48</f>
        <v>33746.068022607637</v>
      </c>
      <c r="E49" s="16" t="s">
        <v>37</v>
      </c>
      <c r="F49" s="16"/>
      <c r="G49" s="16"/>
    </row>
    <row r="50" spans="1:7" x14ac:dyDescent="0.2">
      <c r="A50" s="70"/>
      <c r="B50" s="70"/>
      <c r="C50" s="70"/>
      <c r="D50" s="16"/>
      <c r="E50" s="16"/>
      <c r="F50" s="16"/>
      <c r="G50" s="16"/>
    </row>
    <row r="51" spans="1:7" x14ac:dyDescent="0.2">
      <c r="A51" s="31" t="s">
        <v>188</v>
      </c>
      <c r="B51" s="31"/>
      <c r="C51" s="31"/>
      <c r="D51" s="31">
        <f>ROUND(D41+D37+D45+D49+F45,2)</f>
        <v>491109.68</v>
      </c>
      <c r="E51" s="31" t="s">
        <v>130</v>
      </c>
      <c r="F51" s="16"/>
      <c r="G51" s="16"/>
    </row>
    <row r="52" spans="1:7" x14ac:dyDescent="0.2">
      <c r="A52" s="16"/>
      <c r="B52" s="16"/>
      <c r="C52" s="16"/>
      <c r="D52" s="16"/>
      <c r="E52" s="16"/>
      <c r="F52" s="16"/>
      <c r="G52" s="16"/>
    </row>
    <row r="53" spans="1:7" x14ac:dyDescent="0.2">
      <c r="A53" s="87" t="s">
        <v>161</v>
      </c>
      <c r="B53" s="75"/>
      <c r="C53" s="75"/>
      <c r="D53" s="76"/>
      <c r="E53" s="16"/>
      <c r="F53" s="16"/>
      <c r="G53" s="11"/>
    </row>
    <row r="54" spans="1:7" x14ac:dyDescent="0.2">
      <c r="A54" s="75"/>
      <c r="B54" s="75"/>
      <c r="C54" s="75"/>
      <c r="D54" s="76"/>
      <c r="E54" s="16"/>
      <c r="F54" s="16"/>
      <c r="G54" s="11"/>
    </row>
    <row r="55" spans="1:7" x14ac:dyDescent="0.2">
      <c r="A55" s="22" t="s">
        <v>112</v>
      </c>
      <c r="B55" s="181">
        <v>14</v>
      </c>
      <c r="C55" s="74" t="s">
        <v>113</v>
      </c>
      <c r="D55" s="16">
        <f>ROUND(B55*Planilha2!U4,2)</f>
        <v>190.61</v>
      </c>
      <c r="E55" s="16" t="s">
        <v>37</v>
      </c>
      <c r="F55" s="16"/>
      <c r="G55" s="16"/>
    </row>
    <row r="56" spans="1:7" x14ac:dyDescent="0.2">
      <c r="A56" s="16" t="s">
        <v>98</v>
      </c>
      <c r="B56" s="181">
        <v>28</v>
      </c>
      <c r="C56" s="74" t="s">
        <v>113</v>
      </c>
      <c r="D56" s="16">
        <f>ROUND(B56*Planilha2!U3,2)</f>
        <v>433.07</v>
      </c>
      <c r="E56" s="16" t="s">
        <v>37</v>
      </c>
      <c r="F56" s="16"/>
      <c r="G56" s="16"/>
    </row>
    <row r="57" spans="1:7" x14ac:dyDescent="0.2">
      <c r="A57" s="16" t="s">
        <v>100</v>
      </c>
      <c r="B57" s="181">
        <v>14</v>
      </c>
      <c r="C57" s="74" t="s">
        <v>113</v>
      </c>
      <c r="D57" s="16">
        <f>ROUND(B57*Planilha2!U6,2)</f>
        <v>473.99</v>
      </c>
      <c r="E57" s="16" t="s">
        <v>37</v>
      </c>
      <c r="F57" s="16"/>
      <c r="G57" s="16"/>
    </row>
    <row r="58" spans="1:7" x14ac:dyDescent="0.2">
      <c r="A58" s="16" t="s">
        <v>117</v>
      </c>
      <c r="B58" s="181">
        <v>14</v>
      </c>
      <c r="C58" s="74" t="s">
        <v>113</v>
      </c>
      <c r="D58" s="16">
        <f>ROUND(B58*Planilha2!U5,2)</f>
        <v>610.87</v>
      </c>
      <c r="E58" s="16" t="s">
        <v>37</v>
      </c>
      <c r="F58" s="16"/>
      <c r="G58" s="16"/>
    </row>
    <row r="59" spans="1:7" x14ac:dyDescent="0.2">
      <c r="A59" s="16" t="s">
        <v>102</v>
      </c>
      <c r="B59" s="181">
        <v>28</v>
      </c>
      <c r="C59" s="74" t="s">
        <v>113</v>
      </c>
      <c r="D59" s="16">
        <f>ROUND(B59*Planilha2!U10,2)</f>
        <v>169.26</v>
      </c>
      <c r="E59" s="16" t="s">
        <v>37</v>
      </c>
      <c r="F59" s="16"/>
      <c r="G59" s="16"/>
    </row>
    <row r="60" spans="1:7" x14ac:dyDescent="0.2">
      <c r="A60" s="16" t="s">
        <v>125</v>
      </c>
      <c r="B60" s="181">
        <f>0*($D$43+$D$35)</f>
        <v>0</v>
      </c>
      <c r="C60" s="74" t="s">
        <v>113</v>
      </c>
      <c r="D60" s="16"/>
      <c r="E60" s="16" t="s">
        <v>37</v>
      </c>
      <c r="F60" s="16"/>
      <c r="G60" s="16"/>
    </row>
    <row r="61" spans="1:7" x14ac:dyDescent="0.2">
      <c r="A61" s="16" t="s">
        <v>119</v>
      </c>
      <c r="B61" s="181">
        <f>0*($D$43+$D$35)</f>
        <v>0</v>
      </c>
      <c r="C61" s="74" t="s">
        <v>113</v>
      </c>
      <c r="D61" s="16"/>
      <c r="E61" s="16" t="s">
        <v>37</v>
      </c>
      <c r="F61" s="16"/>
      <c r="G61" s="16"/>
    </row>
    <row r="62" spans="1:7" x14ac:dyDescent="0.2">
      <c r="A62" s="42" t="s">
        <v>472</v>
      </c>
      <c r="B62" s="179">
        <f>(D13+F13+D19+F19+D25+F25)*2*26</f>
        <v>3120</v>
      </c>
      <c r="C62" s="107" t="s">
        <v>473</v>
      </c>
      <c r="D62" s="42">
        <f>B62*Planilha2!R27</f>
        <v>1996.8</v>
      </c>
      <c r="E62" s="42" t="s">
        <v>43</v>
      </c>
      <c r="F62" s="16"/>
      <c r="G62" s="16"/>
    </row>
    <row r="63" spans="1:7" x14ac:dyDescent="0.2">
      <c r="A63" s="42"/>
      <c r="B63" s="179"/>
      <c r="C63" s="107"/>
      <c r="D63" s="42"/>
      <c r="E63" s="42"/>
      <c r="F63" s="16"/>
      <c r="G63" s="16"/>
    </row>
    <row r="64" spans="1:7" x14ac:dyDescent="0.2">
      <c r="A64" s="31" t="s">
        <v>189</v>
      </c>
      <c r="B64" s="31"/>
      <c r="C64" s="31"/>
      <c r="D64" s="31">
        <f>SUM(D55:D62)</f>
        <v>3874.6</v>
      </c>
      <c r="E64" s="31" t="s">
        <v>130</v>
      </c>
      <c r="F64" s="16"/>
      <c r="G64" s="16"/>
    </row>
    <row r="65" spans="1:17" hidden="1" x14ac:dyDescent="0.2">
      <c r="A65" s="16" t="s">
        <v>72</v>
      </c>
      <c r="B65" s="16"/>
      <c r="C65" s="16"/>
      <c r="D65" s="79"/>
      <c r="E65" s="16"/>
      <c r="F65" s="16"/>
      <c r="G65" s="16"/>
    </row>
    <row r="66" spans="1:17" hidden="1" x14ac:dyDescent="0.2">
      <c r="A66" s="16" t="s">
        <v>57</v>
      </c>
      <c r="B66" s="16"/>
      <c r="C66" s="16"/>
      <c r="D66" s="16" t="e">
        <f>ROUND(D65*#REF!,2)</f>
        <v>#REF!</v>
      </c>
      <c r="E66" s="16" t="s">
        <v>71</v>
      </c>
      <c r="F66" s="16"/>
      <c r="G66" s="16"/>
    </row>
    <row r="67" spans="1:17" hidden="1" x14ac:dyDescent="0.2">
      <c r="A67" s="16"/>
      <c r="B67" s="73"/>
      <c r="C67" s="74"/>
      <c r="D67" s="16"/>
      <c r="E67" s="16"/>
      <c r="F67" s="16"/>
      <c r="G67" s="16"/>
    </row>
    <row r="68" spans="1:17" x14ac:dyDescent="0.2">
      <c r="A68" s="16"/>
      <c r="B68" s="73"/>
      <c r="C68" s="74"/>
      <c r="D68" s="16"/>
      <c r="E68" s="16"/>
      <c r="F68" s="16"/>
      <c r="G68" s="16"/>
    </row>
    <row r="69" spans="1:17" s="1" customFormat="1" x14ac:dyDescent="0.2">
      <c r="A69" s="109" t="s">
        <v>470</v>
      </c>
      <c r="B69" s="42"/>
      <c r="C69" s="42"/>
      <c r="D69" s="42"/>
      <c r="E69" s="42"/>
      <c r="F69" s="42"/>
      <c r="G69" s="42"/>
      <c r="H69" s="42"/>
      <c r="I69" s="42"/>
      <c r="O69" s="127"/>
      <c r="Q69" s="65"/>
    </row>
    <row r="70" spans="1:17" s="1" customFormat="1" x14ac:dyDescent="0.2">
      <c r="A70" s="109"/>
      <c r="B70" s="42"/>
      <c r="C70" s="42"/>
      <c r="D70" s="42"/>
      <c r="E70" s="42"/>
      <c r="F70" s="42"/>
      <c r="G70" s="42"/>
      <c r="H70" s="42"/>
      <c r="I70" s="42"/>
      <c r="O70" s="127"/>
      <c r="Q70" s="65"/>
    </row>
    <row r="71" spans="1:17" s="1" customFormat="1" x14ac:dyDescent="0.2">
      <c r="A71" s="104" t="s">
        <v>478</v>
      </c>
      <c r="B71" s="42"/>
      <c r="C71" s="42"/>
      <c r="D71" s="42"/>
      <c r="E71" s="42"/>
      <c r="F71" s="42"/>
      <c r="G71" s="42"/>
      <c r="H71" s="42"/>
      <c r="I71" s="42"/>
      <c r="O71" s="127"/>
      <c r="Q71" s="65"/>
    </row>
    <row r="72" spans="1:17" s="1" customFormat="1" x14ac:dyDescent="0.2">
      <c r="A72" s="104" t="s">
        <v>476</v>
      </c>
      <c r="B72" s="42"/>
      <c r="C72" s="42"/>
      <c r="D72" s="42">
        <v>200</v>
      </c>
      <c r="E72" s="42" t="s">
        <v>475</v>
      </c>
      <c r="F72" s="42"/>
      <c r="G72" s="42"/>
      <c r="H72" s="42"/>
      <c r="I72" s="42"/>
      <c r="O72" s="127"/>
      <c r="Q72" s="65"/>
    </row>
    <row r="73" spans="1:17" s="1" customFormat="1" x14ac:dyDescent="0.2">
      <c r="A73" s="104" t="s">
        <v>477</v>
      </c>
      <c r="B73" s="42"/>
      <c r="C73" s="42"/>
      <c r="D73" s="42">
        <v>200</v>
      </c>
      <c r="E73" s="42" t="s">
        <v>485</v>
      </c>
      <c r="F73" s="42"/>
      <c r="G73" s="42"/>
      <c r="H73" s="42"/>
      <c r="I73" s="42"/>
      <c r="O73" s="127"/>
      <c r="Q73" s="65"/>
    </row>
    <row r="74" spans="1:17" s="1" customFormat="1" x14ac:dyDescent="0.2">
      <c r="A74" s="104"/>
      <c r="B74" s="42"/>
      <c r="C74" s="42"/>
      <c r="D74" s="42"/>
      <c r="E74" s="42"/>
      <c r="F74" s="42"/>
      <c r="G74" s="42"/>
      <c r="H74" s="42"/>
      <c r="I74" s="42"/>
      <c r="O74" s="127"/>
      <c r="Q74" s="65"/>
    </row>
    <row r="75" spans="1:17" s="1" customFormat="1" x14ac:dyDescent="0.2">
      <c r="A75" s="104" t="s">
        <v>479</v>
      </c>
      <c r="B75" s="42"/>
      <c r="C75" s="42"/>
      <c r="D75" s="42"/>
      <c r="E75" s="42"/>
      <c r="F75" s="42"/>
      <c r="G75" s="42"/>
      <c r="H75" s="42"/>
      <c r="I75" s="42"/>
      <c r="O75" s="127"/>
      <c r="Q75" s="65"/>
    </row>
    <row r="76" spans="1:17" s="1" customFormat="1" x14ac:dyDescent="0.2">
      <c r="A76" s="104" t="s">
        <v>480</v>
      </c>
      <c r="B76" s="42"/>
      <c r="C76" s="42"/>
      <c r="D76" s="42">
        <v>900</v>
      </c>
      <c r="E76" s="42" t="s">
        <v>484</v>
      </c>
      <c r="F76" s="42"/>
      <c r="G76" s="42"/>
      <c r="H76" s="42"/>
      <c r="I76" s="42"/>
      <c r="O76" s="127"/>
      <c r="Q76" s="65"/>
    </row>
    <row r="77" spans="1:17" s="1" customFormat="1" x14ac:dyDescent="0.2">
      <c r="A77" s="104" t="s">
        <v>481</v>
      </c>
      <c r="B77" s="42"/>
      <c r="C77" s="42"/>
      <c r="D77" s="42">
        <v>60</v>
      </c>
      <c r="E77" s="42" t="s">
        <v>485</v>
      </c>
      <c r="F77" s="42"/>
      <c r="G77" s="42"/>
      <c r="H77" s="42"/>
      <c r="I77" s="42"/>
      <c r="O77" s="127"/>
      <c r="Q77" s="65"/>
    </row>
    <row r="78" spans="1:17" s="1" customFormat="1" x14ac:dyDescent="0.2">
      <c r="A78" s="104" t="s">
        <v>482</v>
      </c>
      <c r="B78" s="42"/>
      <c r="C78" s="42"/>
      <c r="D78" s="42">
        <v>30</v>
      </c>
      <c r="E78" s="42" t="s">
        <v>55</v>
      </c>
      <c r="F78" s="42"/>
      <c r="G78" s="42"/>
      <c r="H78" s="42"/>
      <c r="I78" s="42"/>
      <c r="O78" s="127"/>
      <c r="Q78" s="65"/>
    </row>
    <row r="79" spans="1:17" s="1" customFormat="1" x14ac:dyDescent="0.2">
      <c r="A79" s="42" t="s">
        <v>483</v>
      </c>
      <c r="B79" s="42"/>
      <c r="C79" s="42"/>
      <c r="D79" s="42">
        <f>(D76/D78)+D77</f>
        <v>90</v>
      </c>
      <c r="E79" s="42" t="s">
        <v>486</v>
      </c>
      <c r="F79" s="42"/>
      <c r="G79" s="42"/>
      <c r="H79" s="42"/>
      <c r="I79" s="42"/>
      <c r="O79" s="127"/>
      <c r="Q79" s="65"/>
    </row>
    <row r="80" spans="1:17" s="1" customFormat="1" x14ac:dyDescent="0.2">
      <c r="A80" s="42"/>
      <c r="B80" s="42"/>
      <c r="C80" s="42"/>
      <c r="D80" s="42"/>
      <c r="E80" s="42"/>
      <c r="F80" s="42"/>
      <c r="G80" s="42"/>
      <c r="H80" s="42"/>
      <c r="I80" s="42"/>
      <c r="O80" s="127"/>
      <c r="Q80" s="65"/>
    </row>
    <row r="81" spans="1:17" s="1" customFormat="1" x14ac:dyDescent="0.2">
      <c r="A81" s="42" t="s">
        <v>487</v>
      </c>
      <c r="B81" s="42"/>
      <c r="C81" s="42"/>
      <c r="D81" s="42"/>
      <c r="E81" s="42"/>
      <c r="F81" s="42"/>
      <c r="G81" s="42"/>
      <c r="H81" s="42"/>
      <c r="I81" s="42"/>
      <c r="O81" s="127"/>
      <c r="Q81" s="65"/>
    </row>
    <row r="82" spans="1:17" s="1" customFormat="1" x14ac:dyDescent="0.2">
      <c r="A82" s="42" t="s">
        <v>488</v>
      </c>
      <c r="B82" s="42"/>
      <c r="C82" s="42"/>
      <c r="D82" s="42">
        <v>14</v>
      </c>
      <c r="E82" s="42" t="s">
        <v>493</v>
      </c>
      <c r="F82" s="42"/>
      <c r="G82" s="42"/>
      <c r="H82" s="42"/>
      <c r="I82" s="42"/>
      <c r="O82" s="127"/>
      <c r="Q82" s="65"/>
    </row>
    <row r="83" spans="1:17" s="1" customFormat="1" x14ac:dyDescent="0.2">
      <c r="A83" s="42" t="s">
        <v>499</v>
      </c>
      <c r="B83" s="42"/>
      <c r="C83" s="42"/>
      <c r="D83" s="42">
        <f>D54</f>
        <v>0</v>
      </c>
      <c r="E83" s="42" t="s">
        <v>493</v>
      </c>
      <c r="F83" s="42"/>
      <c r="G83" s="42"/>
      <c r="H83" s="42"/>
      <c r="I83" s="42"/>
      <c r="O83" s="127"/>
      <c r="Q83" s="65"/>
    </row>
    <row r="84" spans="1:17" s="1" customFormat="1" x14ac:dyDescent="0.2">
      <c r="A84" s="42" t="s">
        <v>495</v>
      </c>
      <c r="B84" s="42"/>
      <c r="C84" s="42"/>
      <c r="D84" s="42">
        <f>D72*D82</f>
        <v>2800</v>
      </c>
      <c r="E84" s="42" t="s">
        <v>494</v>
      </c>
      <c r="F84" s="42"/>
      <c r="G84" s="42"/>
      <c r="H84" s="42"/>
      <c r="I84" s="42"/>
      <c r="O84" s="127"/>
      <c r="Q84" s="65"/>
    </row>
    <row r="85" spans="1:17" s="1" customFormat="1" x14ac:dyDescent="0.2">
      <c r="A85" s="42" t="s">
        <v>490</v>
      </c>
      <c r="B85" s="42"/>
      <c r="C85" s="42"/>
      <c r="D85" s="42">
        <f>D83*D73</f>
        <v>0</v>
      </c>
      <c r="E85" s="42" t="s">
        <v>485</v>
      </c>
      <c r="F85" s="42"/>
      <c r="G85" s="42"/>
      <c r="H85" s="42"/>
      <c r="I85" s="42"/>
      <c r="O85" s="127"/>
      <c r="Q85" s="65"/>
    </row>
    <row r="86" spans="1:17" s="1" customFormat="1" x14ac:dyDescent="0.2">
      <c r="A86" s="42" t="s">
        <v>491</v>
      </c>
      <c r="B86" s="42"/>
      <c r="C86" s="42"/>
      <c r="D86" s="42"/>
      <c r="E86" s="42" t="s">
        <v>493</v>
      </c>
      <c r="F86" s="42"/>
      <c r="G86" s="42"/>
      <c r="H86" s="42"/>
      <c r="I86" s="42"/>
      <c r="O86" s="127"/>
      <c r="Q86" s="65"/>
    </row>
    <row r="87" spans="1:17" s="1" customFormat="1" x14ac:dyDescent="0.2">
      <c r="A87" s="42" t="s">
        <v>496</v>
      </c>
      <c r="B87" s="42"/>
      <c r="C87" s="42"/>
      <c r="D87" s="42">
        <f>D79*D86</f>
        <v>0</v>
      </c>
      <c r="E87" s="42" t="s">
        <v>497</v>
      </c>
      <c r="F87" s="42"/>
      <c r="G87" s="42"/>
      <c r="H87" s="42"/>
      <c r="I87" s="42"/>
      <c r="O87" s="127"/>
      <c r="Q87" s="65"/>
    </row>
    <row r="88" spans="1:17" s="1" customFormat="1" x14ac:dyDescent="0.2">
      <c r="A88" s="42"/>
      <c r="B88" s="42"/>
      <c r="C88" s="42"/>
      <c r="D88" s="42"/>
      <c r="E88" s="42"/>
      <c r="F88" s="42"/>
      <c r="G88" s="42"/>
      <c r="H88" s="42"/>
      <c r="I88" s="42"/>
      <c r="O88" s="127"/>
      <c r="Q88" s="65"/>
    </row>
    <row r="89" spans="1:17" s="1" customFormat="1" x14ac:dyDescent="0.2">
      <c r="A89" s="105" t="s">
        <v>492</v>
      </c>
      <c r="B89" s="105"/>
      <c r="C89" s="105"/>
      <c r="D89" s="105">
        <f>D84+D85+D87</f>
        <v>2800</v>
      </c>
      <c r="E89" s="105" t="s">
        <v>130</v>
      </c>
      <c r="F89" s="42"/>
      <c r="G89" s="42"/>
      <c r="H89" s="42"/>
      <c r="I89" s="42"/>
      <c r="O89" s="127"/>
      <c r="Q89" s="65"/>
    </row>
    <row r="90" spans="1:17" x14ac:dyDescent="0.2">
      <c r="A90" s="16"/>
      <c r="B90" s="73"/>
      <c r="C90" s="74"/>
      <c r="D90" s="16"/>
      <c r="E90" s="16"/>
      <c r="F90" s="16"/>
      <c r="G90" s="16"/>
    </row>
    <row r="91" spans="1:17" x14ac:dyDescent="0.2">
      <c r="A91" s="71" t="s">
        <v>501</v>
      </c>
      <c r="B91" s="72"/>
      <c r="C91" s="72"/>
      <c r="D91" s="16"/>
      <c r="E91" s="16"/>
      <c r="F91" s="16"/>
      <c r="G91" s="16"/>
    </row>
    <row r="92" spans="1:17" x14ac:dyDescent="0.2">
      <c r="A92" s="72"/>
      <c r="B92" s="72"/>
      <c r="C92" s="72"/>
      <c r="D92" s="16"/>
      <c r="E92" s="16"/>
      <c r="F92" s="16"/>
      <c r="G92" s="16"/>
    </row>
    <row r="93" spans="1:17" x14ac:dyDescent="0.2">
      <c r="A93" s="16" t="s">
        <v>68</v>
      </c>
      <c r="B93" s="16"/>
      <c r="C93" s="16"/>
      <c r="D93" s="16">
        <f>+D31</f>
        <v>366183.37</v>
      </c>
      <c r="E93" s="16" t="s">
        <v>37</v>
      </c>
      <c r="F93" s="16"/>
      <c r="G93" s="16"/>
      <c r="I93" s="65">
        <f>D93/$D$98</f>
        <v>0.42383921435021321</v>
      </c>
    </row>
    <row r="94" spans="1:17" x14ac:dyDescent="0.2">
      <c r="A94" s="16" t="s">
        <v>58</v>
      </c>
      <c r="B94" s="16"/>
      <c r="C94" s="16"/>
      <c r="D94" s="16">
        <f>D51</f>
        <v>491109.68</v>
      </c>
      <c r="E94" s="16" t="s">
        <v>37</v>
      </c>
      <c r="F94" s="16"/>
      <c r="G94" s="16"/>
      <c r="I94" s="65">
        <f t="shared" ref="I94:I96" si="0">D94/$D$98</f>
        <v>0.56843526490835616</v>
      </c>
    </row>
    <row r="95" spans="1:17" x14ac:dyDescent="0.2">
      <c r="A95" s="16" t="s">
        <v>67</v>
      </c>
      <c r="B95" s="16"/>
      <c r="C95" s="16"/>
      <c r="D95" s="16">
        <f>D64</f>
        <v>3874.6</v>
      </c>
      <c r="E95" s="16" t="s">
        <v>37</v>
      </c>
      <c r="F95" s="16"/>
      <c r="G95" s="16"/>
      <c r="I95" s="65">
        <f t="shared" si="0"/>
        <v>4.4846586559114795E-3</v>
      </c>
    </row>
    <row r="96" spans="1:17" x14ac:dyDescent="0.2">
      <c r="A96" s="42" t="s">
        <v>498</v>
      </c>
      <c r="B96" s="16"/>
      <c r="C96" s="16"/>
      <c r="D96" s="16">
        <f>D89</f>
        <v>2800</v>
      </c>
      <c r="E96" s="16" t="s">
        <v>37</v>
      </c>
      <c r="F96" s="16"/>
      <c r="G96" s="16"/>
      <c r="I96" s="65">
        <f t="shared" si="0"/>
        <v>3.2408620855190586E-3</v>
      </c>
      <c r="J96" s="59"/>
    </row>
    <row r="97" spans="1:17" x14ac:dyDescent="0.2">
      <c r="A97" s="16"/>
      <c r="B97" s="16"/>
      <c r="C97" s="16"/>
      <c r="D97" s="16"/>
      <c r="E97" s="16"/>
      <c r="F97" s="16"/>
      <c r="G97" s="16"/>
      <c r="I97" s="65">
        <f>I94+I95+I96</f>
        <v>0.57616078564978679</v>
      </c>
    </row>
    <row r="98" spans="1:17" x14ac:dyDescent="0.2">
      <c r="A98" s="31" t="s">
        <v>185</v>
      </c>
      <c r="B98" s="31"/>
      <c r="C98" s="31"/>
      <c r="D98" s="31">
        <f>SUM(D93:D96)</f>
        <v>863967.65</v>
      </c>
      <c r="E98" s="31" t="s">
        <v>130</v>
      </c>
      <c r="F98" s="16"/>
      <c r="G98" s="16"/>
      <c r="I98" s="11">
        <f>D98/D103</f>
        <v>247.09782179690316</v>
      </c>
    </row>
    <row r="99" spans="1:17" x14ac:dyDescent="0.2">
      <c r="A99" s="16"/>
      <c r="B99" s="16"/>
      <c r="C99" s="16"/>
      <c r="D99" s="16" t="s">
        <v>8</v>
      </c>
      <c r="E99" s="16"/>
      <c r="F99" s="16"/>
      <c r="G99" s="16"/>
    </row>
    <row r="100" spans="1:17" s="94" customFormat="1" x14ac:dyDescent="0.2">
      <c r="A100" s="105" t="s">
        <v>469</v>
      </c>
      <c r="B100" s="144">
        <f>BDI!C12</f>
        <v>0.29709999999999998</v>
      </c>
      <c r="C100" s="105"/>
      <c r="D100" s="134">
        <f>D102-D98</f>
        <v>256684.78999999992</v>
      </c>
      <c r="E100" s="105" t="s">
        <v>130</v>
      </c>
      <c r="F100" s="131"/>
      <c r="G100" s="44"/>
      <c r="H100" s="38"/>
      <c r="I100" s="65"/>
      <c r="O100" s="142"/>
      <c r="Q100" s="120"/>
    </row>
    <row r="101" spans="1:17" x14ac:dyDescent="0.2">
      <c r="A101" s="16"/>
      <c r="B101" s="16"/>
      <c r="C101" s="16"/>
      <c r="D101" s="16"/>
      <c r="E101" s="16"/>
      <c r="F101" s="123"/>
      <c r="G101" s="124"/>
      <c r="H101" s="16"/>
    </row>
    <row r="102" spans="1:17" x14ac:dyDescent="0.2">
      <c r="A102" s="81" t="s">
        <v>468</v>
      </c>
      <c r="B102" s="84"/>
      <c r="C102" s="84"/>
      <c r="D102" s="31">
        <f>ROUND((D98*(1+B100)),2)</f>
        <v>1120652.44</v>
      </c>
      <c r="E102" s="31" t="s">
        <v>37</v>
      </c>
      <c r="F102" s="122"/>
      <c r="G102" s="121"/>
      <c r="H102" s="16"/>
      <c r="I102" s="83"/>
    </row>
    <row r="103" spans="1:17" ht="12.95" customHeight="1" x14ac:dyDescent="0.2">
      <c r="A103" s="82" t="s">
        <v>298</v>
      </c>
      <c r="B103" s="31"/>
      <c r="C103" s="31"/>
      <c r="D103" s="31">
        <v>3496.46</v>
      </c>
      <c r="E103" s="31" t="s">
        <v>219</v>
      </c>
      <c r="F103" s="16"/>
      <c r="G103" s="16"/>
    </row>
    <row r="104" spans="1:17" ht="14.25" customHeight="1" x14ac:dyDescent="0.2">
      <c r="A104" s="82" t="s">
        <v>299</v>
      </c>
      <c r="B104" s="31"/>
      <c r="C104" s="31"/>
      <c r="D104" s="31">
        <f>ROUND((D102/D103),2)</f>
        <v>320.51</v>
      </c>
      <c r="E104" s="84" t="s">
        <v>563</v>
      </c>
      <c r="F104" s="11"/>
      <c r="G104" s="16"/>
    </row>
    <row r="105" spans="1:17" x14ac:dyDescent="0.2">
      <c r="A105" s="16"/>
      <c r="B105" s="16"/>
      <c r="C105" s="16"/>
      <c r="D105" s="16"/>
      <c r="E105" s="16"/>
      <c r="F105" s="16"/>
      <c r="G105" s="16"/>
    </row>
    <row r="106" spans="1:17" x14ac:dyDescent="0.2">
      <c r="A106" s="88"/>
      <c r="B106" s="88"/>
      <c r="C106" s="88"/>
      <c r="G106" s="16"/>
    </row>
    <row r="107" spans="1:17" x14ac:dyDescent="0.2">
      <c r="D107" s="16"/>
      <c r="G107" s="16"/>
    </row>
    <row r="108" spans="1:17" x14ac:dyDescent="0.2">
      <c r="D108" s="16"/>
      <c r="G108" s="16"/>
    </row>
    <row r="111" spans="1:17" x14ac:dyDescent="0.2">
      <c r="K111" s="59"/>
    </row>
    <row r="112" spans="1:17" x14ac:dyDescent="0.2">
      <c r="K112" s="59"/>
    </row>
    <row r="113" spans="4:11" x14ac:dyDescent="0.2">
      <c r="D113" s="16"/>
      <c r="K113" s="59"/>
    </row>
    <row r="114" spans="4:11" x14ac:dyDescent="0.2">
      <c r="G114" s="11"/>
      <c r="K114" s="59"/>
    </row>
    <row r="115" spans="4:11" x14ac:dyDescent="0.2">
      <c r="K115" s="59"/>
    </row>
    <row r="116" spans="4:11" x14ac:dyDescent="0.2">
      <c r="K116" s="59"/>
    </row>
    <row r="117" spans="4:11" x14ac:dyDescent="0.2">
      <c r="D117" s="16"/>
    </row>
    <row r="118" spans="4:11" x14ac:dyDescent="0.2">
      <c r="K118" s="59"/>
    </row>
  </sheetData>
  <mergeCells count="3">
    <mergeCell ref="A1:E1"/>
    <mergeCell ref="A2:E2"/>
    <mergeCell ref="A7:E7"/>
  </mergeCells>
  <phoneticPr fontId="0" type="noConversion"/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05"/>
  <sheetViews>
    <sheetView view="pageBreakPreview" topLeftCell="A79" zoomScaleSheetLayoutView="100" workbookViewId="0">
      <selection activeCell="I95" sqref="I95"/>
    </sheetView>
  </sheetViews>
  <sheetFormatPr defaultColWidth="12" defaultRowHeight="12.75" x14ac:dyDescent="0.2"/>
  <cols>
    <col min="1" max="1" width="50.83203125" style="13" customWidth="1"/>
    <col min="2" max="2" width="10.83203125" style="13" customWidth="1"/>
    <col min="3" max="3" width="7.83203125" style="13" customWidth="1"/>
    <col min="4" max="4" width="14.83203125" style="13" customWidth="1"/>
    <col min="5" max="5" width="10.83203125" style="13" customWidth="1"/>
    <col min="6" max="6" width="14.83203125" style="13" customWidth="1"/>
    <col min="7" max="7" width="10.83203125" style="13" customWidth="1"/>
    <col min="8" max="8" width="16.6640625" style="16" customWidth="1"/>
    <col min="9" max="9" width="10.1640625" style="13" customWidth="1"/>
    <col min="10" max="16384" width="12" style="11"/>
  </cols>
  <sheetData>
    <row r="1" spans="1:9" ht="18.75" hidden="1" x14ac:dyDescent="0.3">
      <c r="A1" s="335" t="s">
        <v>215</v>
      </c>
      <c r="B1" s="335"/>
      <c r="C1" s="335"/>
      <c r="D1" s="335"/>
      <c r="E1" s="335"/>
      <c r="F1" s="10"/>
      <c r="G1" s="11"/>
      <c r="H1" s="10"/>
      <c r="I1" s="11"/>
    </row>
    <row r="2" spans="1:9" ht="18" hidden="1" customHeight="1" x14ac:dyDescent="0.25">
      <c r="A2" s="335"/>
      <c r="B2" s="335"/>
      <c r="C2" s="335"/>
      <c r="D2" s="335"/>
      <c r="E2" s="335"/>
      <c r="F2" s="12"/>
      <c r="G2" s="11"/>
      <c r="H2" s="12"/>
      <c r="I2" s="11"/>
    </row>
    <row r="3" spans="1:9" hidden="1" x14ac:dyDescent="0.2">
      <c r="G3" s="11"/>
      <c r="H3" s="13"/>
      <c r="I3" s="11"/>
    </row>
    <row r="4" spans="1:9" hidden="1" x14ac:dyDescent="0.2">
      <c r="A4" s="358"/>
      <c r="B4" s="358"/>
      <c r="G4" s="11"/>
      <c r="H4" s="13"/>
      <c r="I4" s="11"/>
    </row>
    <row r="5" spans="1:9" hidden="1" x14ac:dyDescent="0.2">
      <c r="G5" s="11"/>
      <c r="H5" s="13"/>
      <c r="I5" s="11"/>
    </row>
    <row r="6" spans="1:9" hidden="1" x14ac:dyDescent="0.2">
      <c r="A6" s="14" t="s">
        <v>217</v>
      </c>
      <c r="D6" s="14" t="s">
        <v>211</v>
      </c>
      <c r="G6" s="11"/>
      <c r="H6" s="13"/>
      <c r="I6" s="11"/>
    </row>
    <row r="7" spans="1:9" x14ac:dyDescent="0.2">
      <c r="F7" s="68"/>
      <c r="G7" s="11"/>
      <c r="H7" s="13"/>
      <c r="I7" s="11"/>
    </row>
    <row r="8" spans="1:9" x14ac:dyDescent="0.2">
      <c r="A8" s="336" t="s">
        <v>0</v>
      </c>
      <c r="B8" s="336"/>
      <c r="C8" s="336"/>
      <c r="D8" s="336"/>
      <c r="E8" s="336"/>
      <c r="F8" s="16"/>
      <c r="G8" s="16"/>
      <c r="H8" s="68"/>
      <c r="I8" s="11"/>
    </row>
    <row r="9" spans="1:9" x14ac:dyDescent="0.2">
      <c r="A9" s="16"/>
      <c r="B9" s="16"/>
      <c r="C9" s="16"/>
      <c r="D9" s="16"/>
      <c r="E9" s="16"/>
      <c r="F9" s="18"/>
      <c r="G9" s="18"/>
      <c r="I9" s="16"/>
    </row>
    <row r="10" spans="1:9" x14ac:dyDescent="0.2">
      <c r="A10" s="69" t="s">
        <v>546</v>
      </c>
      <c r="B10" s="69"/>
      <c r="C10" s="69"/>
      <c r="D10" s="18"/>
      <c r="E10" s="18"/>
      <c r="F10" s="18"/>
      <c r="G10" s="18"/>
      <c r="H10" s="18"/>
      <c r="I10" s="18"/>
    </row>
    <row r="11" spans="1:9" x14ac:dyDescent="0.2">
      <c r="A11" s="69"/>
      <c r="B11" s="69"/>
      <c r="C11" s="69"/>
      <c r="D11" s="18"/>
      <c r="E11" s="18"/>
      <c r="F11" s="18"/>
      <c r="G11" s="18"/>
      <c r="H11" s="18"/>
      <c r="I11" s="18"/>
    </row>
    <row r="12" spans="1:9" x14ac:dyDescent="0.2">
      <c r="A12" s="69"/>
      <c r="B12" s="69"/>
      <c r="C12" s="69"/>
      <c r="D12" s="18"/>
      <c r="E12" s="18"/>
      <c r="H12" s="18"/>
      <c r="I12" s="18"/>
    </row>
    <row r="13" spans="1:9" x14ac:dyDescent="0.2">
      <c r="A13" s="80" t="s">
        <v>34</v>
      </c>
      <c r="B13" s="78"/>
      <c r="C13" s="78"/>
      <c r="D13" s="16"/>
      <c r="E13" s="16"/>
      <c r="I13" s="16"/>
    </row>
    <row r="14" spans="1:9" x14ac:dyDescent="0.2">
      <c r="A14" s="16"/>
      <c r="B14" s="16"/>
      <c r="C14" s="16"/>
      <c r="D14" s="85" t="s">
        <v>423</v>
      </c>
      <c r="E14" s="85"/>
      <c r="F14" s="85" t="s">
        <v>422</v>
      </c>
      <c r="G14" s="16"/>
      <c r="I14" s="16"/>
    </row>
    <row r="15" spans="1:9" x14ac:dyDescent="0.2">
      <c r="A15" s="70" t="s">
        <v>88</v>
      </c>
      <c r="B15" s="70"/>
      <c r="C15" s="70"/>
      <c r="D15" s="16">
        <v>4</v>
      </c>
      <c r="E15" s="16" t="s">
        <v>35</v>
      </c>
      <c r="F15" s="16"/>
      <c r="G15" s="16" t="s">
        <v>35</v>
      </c>
      <c r="H15" s="16" t="s">
        <v>8</v>
      </c>
      <c r="I15" s="16"/>
    </row>
    <row r="16" spans="1:9" x14ac:dyDescent="0.2">
      <c r="A16" s="70" t="s">
        <v>462</v>
      </c>
      <c r="B16" s="61"/>
      <c r="C16" s="61"/>
      <c r="D16" s="16">
        <f>COLETOR!B32</f>
        <v>4484.9060142857152</v>
      </c>
      <c r="E16" s="61" t="s">
        <v>36</v>
      </c>
      <c r="F16" s="16">
        <f>+COLETOR!B59</f>
        <v>4871.7265442857151</v>
      </c>
      <c r="G16" s="61" t="s">
        <v>36</v>
      </c>
      <c r="I16" s="16"/>
    </row>
    <row r="17" spans="1:9" x14ac:dyDescent="0.2">
      <c r="A17" s="61" t="s">
        <v>461</v>
      </c>
      <c r="B17" s="61"/>
      <c r="C17" s="61"/>
      <c r="D17" s="16">
        <f>ROUND((((D15*(D16/220)*1.5)*4*4)),2)</f>
        <v>1957.05</v>
      </c>
      <c r="E17" s="16" t="s">
        <v>37</v>
      </c>
      <c r="F17" s="16">
        <f>ROUND((((F15*(F16/220)*1.5)*4*4)+(F15*((F16/220)*2)*8*1)),2)</f>
        <v>0</v>
      </c>
      <c r="G17" s="16" t="s">
        <v>37</v>
      </c>
      <c r="I17" s="16"/>
    </row>
    <row r="18" spans="1:9" x14ac:dyDescent="0.2">
      <c r="A18" s="70" t="s">
        <v>47</v>
      </c>
      <c r="B18" s="70"/>
      <c r="C18" s="70"/>
      <c r="D18" s="16">
        <f>(D15*D16)+D17</f>
        <v>19896.67405714286</v>
      </c>
      <c r="E18" s="16" t="s">
        <v>43</v>
      </c>
      <c r="F18" s="16">
        <f>(F15*F16)+F17</f>
        <v>0</v>
      </c>
      <c r="G18" s="16" t="s">
        <v>43</v>
      </c>
      <c r="I18" s="16"/>
    </row>
    <row r="19" spans="1:9" x14ac:dyDescent="0.2">
      <c r="A19" s="61"/>
      <c r="B19" s="61"/>
      <c r="C19" s="61"/>
      <c r="D19" s="16"/>
      <c r="E19" s="16"/>
      <c r="I19" s="16"/>
    </row>
    <row r="20" spans="1:9" x14ac:dyDescent="0.2">
      <c r="A20" s="61" t="s">
        <v>38</v>
      </c>
      <c r="B20" s="61"/>
      <c r="C20" s="61"/>
      <c r="D20" s="16"/>
      <c r="E20" s="16" t="s">
        <v>35</v>
      </c>
      <c r="F20" s="16">
        <v>0</v>
      </c>
      <c r="G20" s="16" t="s">
        <v>35</v>
      </c>
      <c r="I20" s="16"/>
    </row>
    <row r="21" spans="1:9" x14ac:dyDescent="0.2">
      <c r="A21" s="16" t="s">
        <v>39</v>
      </c>
      <c r="B21" s="16"/>
      <c r="C21" s="16"/>
      <c r="D21" s="16">
        <f>'ENC I'!B32</f>
        <v>9061.6866043333339</v>
      </c>
      <c r="E21" s="16" t="s">
        <v>36</v>
      </c>
      <c r="F21" s="16">
        <f>'ENC I'!B59</f>
        <v>9715.8399713333329</v>
      </c>
      <c r="G21" s="61" t="s">
        <v>36</v>
      </c>
      <c r="I21" s="16"/>
    </row>
    <row r="22" spans="1:9" x14ac:dyDescent="0.2">
      <c r="A22" s="70" t="s">
        <v>42</v>
      </c>
      <c r="B22" s="70"/>
      <c r="C22" s="70"/>
      <c r="D22" s="16">
        <f>+D21*D20</f>
        <v>0</v>
      </c>
      <c r="E22" s="16" t="s">
        <v>37</v>
      </c>
      <c r="F22" s="16"/>
      <c r="G22" s="16" t="s">
        <v>37</v>
      </c>
      <c r="I22" s="16"/>
    </row>
    <row r="23" spans="1:9" x14ac:dyDescent="0.2">
      <c r="A23" s="16" t="s">
        <v>48</v>
      </c>
      <c r="B23" s="16"/>
      <c r="C23" s="16"/>
      <c r="D23" s="16">
        <f>D22</f>
        <v>0</v>
      </c>
      <c r="E23" s="16" t="s">
        <v>43</v>
      </c>
      <c r="F23" s="16"/>
      <c r="G23" s="16" t="s">
        <v>43</v>
      </c>
      <c r="I23" s="16"/>
    </row>
    <row r="24" spans="1:9" x14ac:dyDescent="0.2">
      <c r="A24" s="16"/>
      <c r="B24" s="16"/>
      <c r="C24" s="16"/>
      <c r="D24" s="16"/>
      <c r="E24" s="16"/>
      <c r="F24" s="16"/>
      <c r="I24" s="16"/>
    </row>
    <row r="25" spans="1:9" x14ac:dyDescent="0.2">
      <c r="A25" s="61" t="s">
        <v>49</v>
      </c>
      <c r="B25" s="61"/>
      <c r="C25" s="61"/>
      <c r="D25" s="16">
        <v>2</v>
      </c>
      <c r="E25" s="16" t="s">
        <v>35</v>
      </c>
      <c r="F25" s="16"/>
      <c r="G25" s="16" t="s">
        <v>35</v>
      </c>
      <c r="I25" s="16"/>
    </row>
    <row r="26" spans="1:9" x14ac:dyDescent="0.2">
      <c r="A26" s="70" t="s">
        <v>464</v>
      </c>
      <c r="B26" s="61"/>
      <c r="C26" s="61"/>
      <c r="D26" s="16">
        <f>MOTORISTA!B32</f>
        <v>6484.3952558333331</v>
      </c>
      <c r="E26" s="16" t="s">
        <v>36</v>
      </c>
      <c r="F26" s="16">
        <f>+MOTORISTA!B58</f>
        <v>7222.7705586458324</v>
      </c>
      <c r="G26" s="61" t="s">
        <v>36</v>
      </c>
      <c r="I26" s="16"/>
    </row>
    <row r="27" spans="1:9" x14ac:dyDescent="0.2">
      <c r="A27" s="61" t="s">
        <v>461</v>
      </c>
      <c r="B27" s="61"/>
      <c r="C27" s="61"/>
      <c r="D27" s="16">
        <f>ROUND((((D25*(D26/220)*1.5)*4*4)),2)</f>
        <v>1414.78</v>
      </c>
      <c r="E27" s="16" t="s">
        <v>37</v>
      </c>
      <c r="F27" s="16">
        <f>ROUND((((F25*(F26/220)*1.5)*4*4)+(F25*((F26/220)*2)*8*1)),2)</f>
        <v>0</v>
      </c>
      <c r="G27" s="16" t="s">
        <v>37</v>
      </c>
      <c r="I27" s="16"/>
    </row>
    <row r="28" spans="1:9" x14ac:dyDescent="0.2">
      <c r="A28" s="70" t="s">
        <v>52</v>
      </c>
      <c r="B28" s="70"/>
      <c r="C28" s="70"/>
      <c r="D28" s="16">
        <f>(D25*D26)+D27</f>
        <v>14383.570511666667</v>
      </c>
      <c r="E28" s="16" t="s">
        <v>43</v>
      </c>
      <c r="F28" s="16">
        <f>(F25*F26)+F27</f>
        <v>0</v>
      </c>
      <c r="G28" s="16" t="s">
        <v>43</v>
      </c>
      <c r="I28" s="16"/>
    </row>
    <row r="29" spans="1:9" x14ac:dyDescent="0.2">
      <c r="A29" s="16"/>
      <c r="B29" s="16"/>
      <c r="C29" s="16"/>
      <c r="D29" s="16"/>
      <c r="E29" s="16"/>
      <c r="G29" s="16"/>
      <c r="I29" s="16"/>
    </row>
    <row r="30" spans="1:9" x14ac:dyDescent="0.2">
      <c r="A30" s="31" t="s">
        <v>191</v>
      </c>
      <c r="B30" s="31"/>
      <c r="C30" s="31"/>
      <c r="D30" s="31">
        <f>D18+D23+D28+F18+F28</f>
        <v>34280.244568809525</v>
      </c>
      <c r="E30" s="31" t="s">
        <v>130</v>
      </c>
      <c r="F30" s="16"/>
      <c r="G30" s="16"/>
      <c r="I30" s="16"/>
    </row>
    <row r="31" spans="1:9" x14ac:dyDescent="0.2">
      <c r="A31" s="16"/>
      <c r="B31" s="16"/>
      <c r="C31" s="16"/>
      <c r="D31" s="16"/>
      <c r="E31" s="16"/>
      <c r="F31" s="85"/>
      <c r="G31" s="16"/>
      <c r="I31" s="16"/>
    </row>
    <row r="32" spans="1:9" x14ac:dyDescent="0.2">
      <c r="A32" s="87" t="s">
        <v>87</v>
      </c>
      <c r="B32" s="75"/>
      <c r="C32" s="75"/>
      <c r="D32" s="16"/>
      <c r="E32" s="16"/>
      <c r="F32" s="16" t="s">
        <v>8</v>
      </c>
      <c r="G32" s="16"/>
      <c r="I32" s="16"/>
    </row>
    <row r="33" spans="1:9" x14ac:dyDescent="0.2">
      <c r="A33" s="16"/>
      <c r="B33" s="16"/>
      <c r="C33" s="16"/>
      <c r="D33" s="16"/>
      <c r="E33" s="16"/>
      <c r="F33" s="16"/>
      <c r="G33" s="16"/>
      <c r="I33" s="16"/>
    </row>
    <row r="34" spans="1:9" x14ac:dyDescent="0.2">
      <c r="A34" s="70" t="s">
        <v>294</v>
      </c>
      <c r="B34" s="70"/>
      <c r="C34" s="70"/>
      <c r="D34" s="16">
        <v>2</v>
      </c>
      <c r="E34" s="16" t="s">
        <v>35</v>
      </c>
      <c r="F34" s="16"/>
      <c r="G34" s="16" t="s">
        <v>35</v>
      </c>
      <c r="H34" s="16" t="s">
        <v>8</v>
      </c>
      <c r="I34" s="16"/>
    </row>
    <row r="35" spans="1:9" x14ac:dyDescent="0.2">
      <c r="A35" s="16" t="s">
        <v>318</v>
      </c>
      <c r="B35" s="16"/>
      <c r="C35" s="16"/>
      <c r="D35" s="16">
        <f>'BASCULANTE 6'!B62</f>
        <v>10286.729909122527</v>
      </c>
      <c r="E35" s="16" t="s">
        <v>36</v>
      </c>
      <c r="F35" s="16">
        <f>'BASCULANTE 6'!B64</f>
        <v>3438.5501297625215</v>
      </c>
      <c r="G35" s="16" t="s">
        <v>36</v>
      </c>
      <c r="I35" s="16"/>
    </row>
    <row r="36" spans="1:9" x14ac:dyDescent="0.2">
      <c r="A36" s="61" t="s">
        <v>295</v>
      </c>
      <c r="B36" s="61"/>
      <c r="C36" s="61"/>
      <c r="D36" s="16">
        <f>ROUND(+D35*D34,2)</f>
        <v>20573.46</v>
      </c>
      <c r="E36" s="16" t="s">
        <v>37</v>
      </c>
      <c r="F36" s="16">
        <f>ROUND(+F35*F34,2)</f>
        <v>0</v>
      </c>
      <c r="G36" s="16" t="s">
        <v>37</v>
      </c>
      <c r="I36" s="16"/>
    </row>
    <row r="37" spans="1:9" x14ac:dyDescent="0.2">
      <c r="A37" s="61"/>
      <c r="B37" s="61"/>
      <c r="C37" s="61"/>
      <c r="D37" s="16"/>
      <c r="E37" s="16"/>
      <c r="F37" s="16"/>
      <c r="G37" s="16"/>
      <c r="I37" s="16"/>
    </row>
    <row r="38" spans="1:9" hidden="1" x14ac:dyDescent="0.2">
      <c r="A38" s="70" t="s">
        <v>532</v>
      </c>
      <c r="B38" s="70"/>
      <c r="C38" s="70"/>
      <c r="D38" s="16"/>
      <c r="E38" s="16" t="s">
        <v>35</v>
      </c>
      <c r="F38" s="16"/>
      <c r="G38" s="16"/>
      <c r="H38" s="11"/>
      <c r="I38" s="11"/>
    </row>
    <row r="39" spans="1:9" hidden="1" x14ac:dyDescent="0.2">
      <c r="A39" s="16" t="s">
        <v>318</v>
      </c>
      <c r="B39" s="16"/>
      <c r="C39" s="16"/>
      <c r="D39" s="16"/>
      <c r="E39" s="16" t="s">
        <v>36</v>
      </c>
      <c r="F39" s="16"/>
      <c r="G39" s="16"/>
      <c r="H39" s="11"/>
      <c r="I39" s="11"/>
    </row>
    <row r="40" spans="1:9" hidden="1" x14ac:dyDescent="0.2">
      <c r="A40" s="70" t="s">
        <v>93</v>
      </c>
      <c r="B40" s="70"/>
      <c r="C40" s="70"/>
      <c r="D40" s="16">
        <f>ROUND(D39*D38,2)</f>
        <v>0</v>
      </c>
      <c r="E40" s="16" t="s">
        <v>37</v>
      </c>
      <c r="F40" s="16"/>
      <c r="G40" s="16"/>
      <c r="H40" s="11"/>
      <c r="I40" s="11"/>
    </row>
    <row r="41" spans="1:9" hidden="1" x14ac:dyDescent="0.2">
      <c r="A41" s="70"/>
      <c r="B41" s="70"/>
      <c r="C41" s="70"/>
      <c r="D41" s="16"/>
      <c r="E41" s="16"/>
      <c r="F41" s="16"/>
      <c r="G41" s="16"/>
      <c r="H41" s="11"/>
      <c r="I41" s="11"/>
    </row>
    <row r="42" spans="1:9" hidden="1" x14ac:dyDescent="0.2">
      <c r="A42" s="70" t="s">
        <v>533</v>
      </c>
      <c r="B42" s="70"/>
      <c r="C42" s="70"/>
      <c r="D42" s="16"/>
      <c r="E42" s="16" t="s">
        <v>35</v>
      </c>
      <c r="F42" s="16"/>
      <c r="G42" s="16"/>
      <c r="H42" s="11"/>
      <c r="I42" s="11"/>
    </row>
    <row r="43" spans="1:9" hidden="1" x14ac:dyDescent="0.2">
      <c r="A43" s="16" t="s">
        <v>534</v>
      </c>
      <c r="B43" s="16"/>
      <c r="C43" s="16"/>
      <c r="D43" s="16"/>
      <c r="E43" s="16" t="s">
        <v>36</v>
      </c>
      <c r="F43" s="16"/>
      <c r="G43" s="16"/>
      <c r="H43" s="11"/>
      <c r="I43" s="11"/>
    </row>
    <row r="44" spans="1:9" hidden="1" x14ac:dyDescent="0.2">
      <c r="A44" s="70" t="s">
        <v>54</v>
      </c>
      <c r="B44" s="70"/>
      <c r="C44" s="70"/>
      <c r="D44" s="16">
        <f>ROUND(+D43*D42,2)</f>
        <v>0</v>
      </c>
      <c r="E44" s="16" t="s">
        <v>37</v>
      </c>
      <c r="F44" s="16"/>
      <c r="G44" s="16"/>
      <c r="H44" s="11"/>
      <c r="I44" s="11"/>
    </row>
    <row r="45" spans="1:9" hidden="1" x14ac:dyDescent="0.2">
      <c r="A45" s="16"/>
      <c r="B45" s="16"/>
      <c r="C45" s="16"/>
      <c r="D45" s="16"/>
      <c r="E45" s="16"/>
      <c r="F45" s="16"/>
      <c r="G45" s="16"/>
      <c r="I45" s="16"/>
    </row>
    <row r="46" spans="1:9" x14ac:dyDescent="0.2">
      <c r="A46" s="31" t="s">
        <v>192</v>
      </c>
      <c r="B46" s="31"/>
      <c r="C46" s="31"/>
      <c r="D46" s="31">
        <f>D36+F36+D40+D44</f>
        <v>20573.46</v>
      </c>
      <c r="E46" s="31" t="s">
        <v>130</v>
      </c>
      <c r="F46" s="16"/>
      <c r="G46" s="16"/>
      <c r="I46" s="16"/>
    </row>
    <row r="47" spans="1:9" x14ac:dyDescent="0.2">
      <c r="A47" s="16"/>
      <c r="B47" s="16"/>
      <c r="C47" s="16"/>
      <c r="D47" s="16"/>
      <c r="E47" s="16"/>
      <c r="F47" s="16"/>
      <c r="G47" s="16"/>
      <c r="I47" s="16"/>
    </row>
    <row r="48" spans="1:9" x14ac:dyDescent="0.2">
      <c r="A48" s="87" t="s">
        <v>500</v>
      </c>
      <c r="B48" s="75"/>
      <c r="C48" s="75"/>
      <c r="D48" s="76"/>
      <c r="E48" s="16"/>
      <c r="F48" s="16"/>
      <c r="G48" s="16"/>
      <c r="I48" s="11"/>
    </row>
    <row r="49" spans="1:17" x14ac:dyDescent="0.2">
      <c r="A49" s="75"/>
      <c r="B49" s="75"/>
      <c r="C49" s="75"/>
      <c r="D49" s="76"/>
      <c r="E49" s="16"/>
      <c r="F49" s="16"/>
      <c r="G49" s="11"/>
      <c r="I49" s="11"/>
    </row>
    <row r="50" spans="1:17" x14ac:dyDescent="0.2">
      <c r="A50" s="22" t="s">
        <v>126</v>
      </c>
      <c r="B50" s="181">
        <v>4</v>
      </c>
      <c r="C50" s="74" t="s">
        <v>113</v>
      </c>
      <c r="D50" s="16">
        <f>B50*Planilha2!U4</f>
        <v>54.460000000000008</v>
      </c>
      <c r="E50" s="16" t="s">
        <v>37</v>
      </c>
      <c r="F50" s="16"/>
      <c r="G50" s="11"/>
      <c r="H50" s="90"/>
      <c r="I50" s="16"/>
    </row>
    <row r="51" spans="1:17" x14ac:dyDescent="0.2">
      <c r="A51" s="16" t="s">
        <v>115</v>
      </c>
      <c r="B51" s="181">
        <v>4</v>
      </c>
      <c r="C51" s="74" t="s">
        <v>113</v>
      </c>
      <c r="D51" s="16">
        <f>B51*Planilha2!U3</f>
        <v>61.866666666666667</v>
      </c>
      <c r="E51" s="16" t="s">
        <v>37</v>
      </c>
      <c r="F51" s="16"/>
      <c r="G51" s="16"/>
      <c r="H51" s="86"/>
      <c r="I51" s="16"/>
    </row>
    <row r="52" spans="1:17" x14ac:dyDescent="0.2">
      <c r="A52" s="16" t="s">
        <v>116</v>
      </c>
      <c r="B52" s="181">
        <v>2</v>
      </c>
      <c r="C52" s="74" t="s">
        <v>113</v>
      </c>
      <c r="D52" s="16">
        <f>B52*Planilha2!U6</f>
        <v>67.713333333333324</v>
      </c>
      <c r="E52" s="16" t="s">
        <v>37</v>
      </c>
      <c r="F52" s="16"/>
      <c r="G52" s="16"/>
      <c r="H52" s="86"/>
      <c r="I52" s="16"/>
    </row>
    <row r="53" spans="1:17" x14ac:dyDescent="0.2">
      <c r="A53" s="16" t="s">
        <v>117</v>
      </c>
      <c r="B53" s="181">
        <v>2</v>
      </c>
      <c r="C53" s="74" t="s">
        <v>113</v>
      </c>
      <c r="D53" s="16">
        <f>B53*Planilha2!U5</f>
        <v>87.266666666666666</v>
      </c>
      <c r="E53" s="16" t="s">
        <v>37</v>
      </c>
      <c r="F53" s="16"/>
      <c r="G53" s="16"/>
      <c r="H53" s="86"/>
      <c r="I53" s="16"/>
    </row>
    <row r="54" spans="1:17" x14ac:dyDescent="0.2">
      <c r="A54" s="16" t="s">
        <v>118</v>
      </c>
      <c r="B54" s="181">
        <v>2</v>
      </c>
      <c r="C54" s="74" t="s">
        <v>113</v>
      </c>
      <c r="D54" s="16">
        <f>B54*Planilha2!U7</f>
        <v>51.73</v>
      </c>
      <c r="E54" s="16" t="s">
        <v>37</v>
      </c>
      <c r="F54" s="16"/>
      <c r="G54" s="16"/>
      <c r="H54" s="86"/>
      <c r="I54" s="16"/>
    </row>
    <row r="55" spans="1:17" x14ac:dyDescent="0.2">
      <c r="A55" s="16" t="s">
        <v>123</v>
      </c>
      <c r="B55" s="181">
        <v>2</v>
      </c>
      <c r="C55" s="74" t="s">
        <v>113</v>
      </c>
      <c r="D55" s="16">
        <f>B55*Planilha2!U10</f>
        <v>12.090000000000002</v>
      </c>
      <c r="E55" s="16" t="s">
        <v>37</v>
      </c>
      <c r="F55" s="16"/>
      <c r="G55" s="16"/>
      <c r="H55" s="86"/>
      <c r="I55" s="16"/>
    </row>
    <row r="56" spans="1:17" x14ac:dyDescent="0.2">
      <c r="A56" s="16" t="s">
        <v>104</v>
      </c>
      <c r="B56" s="181"/>
      <c r="C56" s="74" t="s">
        <v>113</v>
      </c>
      <c r="D56" s="16"/>
      <c r="E56" s="16" t="s">
        <v>37</v>
      </c>
      <c r="F56" s="16"/>
      <c r="G56" s="16"/>
      <c r="H56" s="86"/>
      <c r="I56" s="16"/>
    </row>
    <row r="57" spans="1:17" x14ac:dyDescent="0.2">
      <c r="A57" s="42" t="s">
        <v>472</v>
      </c>
      <c r="B57" s="179">
        <f>(D15+F15+D20+F20+D25+F25)*2*26</f>
        <v>312</v>
      </c>
      <c r="C57" s="107" t="s">
        <v>473</v>
      </c>
      <c r="D57" s="42">
        <f>B57*Planilha2!R27</f>
        <v>199.68</v>
      </c>
      <c r="E57" s="42" t="s">
        <v>43</v>
      </c>
      <c r="F57" s="16"/>
      <c r="G57" s="16"/>
      <c r="H57" s="86"/>
      <c r="I57" s="16"/>
    </row>
    <row r="58" spans="1:17" x14ac:dyDescent="0.2">
      <c r="A58" s="16"/>
      <c r="B58" s="16"/>
      <c r="C58" s="16"/>
      <c r="D58" s="16"/>
      <c r="E58" s="16"/>
      <c r="F58" s="16"/>
      <c r="G58" s="16"/>
      <c r="I58" s="16"/>
    </row>
    <row r="59" spans="1:17" x14ac:dyDescent="0.2">
      <c r="A59" s="31" t="s">
        <v>189</v>
      </c>
      <c r="B59" s="31"/>
      <c r="C59" s="31"/>
      <c r="D59" s="31">
        <f>SUM(D50:D57)</f>
        <v>534.80666666666662</v>
      </c>
      <c r="E59" s="31" t="s">
        <v>130</v>
      </c>
      <c r="F59" s="16"/>
      <c r="G59" s="16"/>
      <c r="I59" s="16"/>
    </row>
    <row r="60" spans="1:17" x14ac:dyDescent="0.2">
      <c r="A60" s="16"/>
      <c r="B60" s="16"/>
      <c r="C60" s="16"/>
      <c r="D60" s="16"/>
      <c r="E60" s="16"/>
      <c r="F60" s="16"/>
      <c r="G60" s="16"/>
      <c r="I60" s="16"/>
    </row>
    <row r="61" spans="1:17" s="1" customFormat="1" x14ac:dyDescent="0.2">
      <c r="A61" s="109" t="s">
        <v>470</v>
      </c>
      <c r="B61" s="42"/>
      <c r="C61" s="42"/>
      <c r="D61" s="42"/>
      <c r="E61" s="42"/>
      <c r="F61" s="42"/>
      <c r="G61" s="42"/>
      <c r="H61" s="42"/>
      <c r="I61" s="42"/>
      <c r="O61" s="127"/>
      <c r="Q61" s="65"/>
    </row>
    <row r="62" spans="1:17" s="1" customFormat="1" x14ac:dyDescent="0.2">
      <c r="A62" s="109"/>
      <c r="B62" s="42"/>
      <c r="C62" s="42"/>
      <c r="D62" s="42"/>
      <c r="E62" s="42"/>
      <c r="F62" s="42"/>
      <c r="G62" s="42"/>
      <c r="H62" s="42"/>
      <c r="I62" s="42"/>
      <c r="O62" s="127"/>
      <c r="Q62" s="65"/>
    </row>
    <row r="63" spans="1:17" s="1" customFormat="1" x14ac:dyDescent="0.2">
      <c r="A63" s="104" t="s">
        <v>478</v>
      </c>
      <c r="B63" s="42"/>
      <c r="C63" s="42"/>
      <c r="D63" s="42"/>
      <c r="E63" s="42"/>
      <c r="F63" s="42"/>
      <c r="G63" s="42"/>
      <c r="H63" s="42"/>
      <c r="I63" s="42"/>
      <c r="O63" s="127"/>
      <c r="Q63" s="65"/>
    </row>
    <row r="64" spans="1:17" s="1" customFormat="1" x14ac:dyDescent="0.2">
      <c r="A64" s="104" t="s">
        <v>476</v>
      </c>
      <c r="B64" s="42"/>
      <c r="C64" s="42"/>
      <c r="D64" s="42">
        <f>DOMICILIAR!D72</f>
        <v>200</v>
      </c>
      <c r="E64" s="42" t="s">
        <v>475</v>
      </c>
      <c r="F64" s="42"/>
      <c r="G64" s="42"/>
      <c r="H64" s="42"/>
      <c r="I64" s="42"/>
      <c r="O64" s="127"/>
      <c r="Q64" s="65"/>
    </row>
    <row r="65" spans="1:17" s="1" customFormat="1" x14ac:dyDescent="0.2">
      <c r="A65" s="104" t="s">
        <v>477</v>
      </c>
      <c r="B65" s="42"/>
      <c r="C65" s="42"/>
      <c r="D65" s="42">
        <f>DOMICILIAR!D73</f>
        <v>200</v>
      </c>
      <c r="E65" s="42" t="s">
        <v>485</v>
      </c>
      <c r="F65" s="42"/>
      <c r="G65" s="42"/>
      <c r="H65" s="42"/>
      <c r="I65" s="42"/>
      <c r="O65" s="127"/>
      <c r="Q65" s="65"/>
    </row>
    <row r="66" spans="1:17" s="1" customFormat="1" x14ac:dyDescent="0.2">
      <c r="A66" s="104"/>
      <c r="B66" s="42"/>
      <c r="C66" s="42"/>
      <c r="D66" s="42"/>
      <c r="E66" s="42"/>
      <c r="F66" s="42"/>
      <c r="G66" s="42"/>
      <c r="H66" s="42"/>
      <c r="I66" s="42"/>
      <c r="O66" s="127"/>
      <c r="Q66" s="65"/>
    </row>
    <row r="67" spans="1:17" s="1" customFormat="1" x14ac:dyDescent="0.2">
      <c r="A67" s="104" t="s">
        <v>479</v>
      </c>
      <c r="B67" s="42"/>
      <c r="C67" s="42"/>
      <c r="D67" s="42"/>
      <c r="E67" s="42"/>
      <c r="F67" s="42"/>
      <c r="G67" s="42"/>
      <c r="H67" s="42"/>
      <c r="I67" s="42"/>
      <c r="O67" s="127"/>
      <c r="Q67" s="65"/>
    </row>
    <row r="68" spans="1:17" s="1" customFormat="1" x14ac:dyDescent="0.2">
      <c r="A68" s="104" t="s">
        <v>480</v>
      </c>
      <c r="B68" s="42"/>
      <c r="C68" s="42"/>
      <c r="D68" s="42">
        <f>DOMICILIAR!D76</f>
        <v>900</v>
      </c>
      <c r="E68" s="42" t="s">
        <v>484</v>
      </c>
      <c r="F68" s="42"/>
      <c r="G68" s="42"/>
      <c r="H68" s="42"/>
      <c r="I68" s="42"/>
      <c r="O68" s="127"/>
      <c r="Q68" s="65"/>
    </row>
    <row r="69" spans="1:17" s="1" customFormat="1" x14ac:dyDescent="0.2">
      <c r="A69" s="104" t="s">
        <v>481</v>
      </c>
      <c r="B69" s="42"/>
      <c r="C69" s="42"/>
      <c r="D69" s="42">
        <v>60</v>
      </c>
      <c r="E69" s="42" t="s">
        <v>485</v>
      </c>
      <c r="F69" s="42"/>
      <c r="G69" s="42"/>
      <c r="H69" s="42"/>
      <c r="I69" s="42"/>
      <c r="O69" s="127"/>
      <c r="Q69" s="65"/>
    </row>
    <row r="70" spans="1:17" s="1" customFormat="1" x14ac:dyDescent="0.2">
      <c r="A70" s="104" t="s">
        <v>482</v>
      </c>
      <c r="B70" s="42"/>
      <c r="C70" s="42"/>
      <c r="D70" s="42">
        <v>30</v>
      </c>
      <c r="E70" s="42" t="s">
        <v>55</v>
      </c>
      <c r="F70" s="42"/>
      <c r="G70" s="42"/>
      <c r="H70" s="42"/>
      <c r="I70" s="42"/>
      <c r="O70" s="127"/>
      <c r="Q70" s="65"/>
    </row>
    <row r="71" spans="1:17" s="1" customFormat="1" x14ac:dyDescent="0.2">
      <c r="A71" s="42" t="s">
        <v>483</v>
      </c>
      <c r="B71" s="42"/>
      <c r="C71" s="42"/>
      <c r="D71" s="42">
        <f>(D68/D70)+D69</f>
        <v>90</v>
      </c>
      <c r="E71" s="42" t="s">
        <v>486</v>
      </c>
      <c r="F71" s="42"/>
      <c r="G71" s="42"/>
      <c r="H71" s="42"/>
      <c r="I71" s="42"/>
      <c r="O71" s="127"/>
      <c r="Q71" s="65"/>
    </row>
    <row r="72" spans="1:17" s="1" customFormat="1" x14ac:dyDescent="0.2">
      <c r="A72" s="42"/>
      <c r="B72" s="42"/>
      <c r="C72" s="42"/>
      <c r="D72" s="42"/>
      <c r="E72" s="42"/>
      <c r="F72" s="42"/>
      <c r="G72" s="42"/>
      <c r="H72" s="42"/>
      <c r="I72" s="42"/>
      <c r="O72" s="127"/>
      <c r="Q72" s="65"/>
    </row>
    <row r="73" spans="1:17" s="1" customFormat="1" x14ac:dyDescent="0.2">
      <c r="A73" s="42" t="s">
        <v>487</v>
      </c>
      <c r="B73" s="42"/>
      <c r="C73" s="42"/>
      <c r="D73" s="42"/>
      <c r="E73" s="42"/>
      <c r="F73" s="42"/>
      <c r="G73" s="42"/>
      <c r="H73" s="42"/>
      <c r="I73" s="42"/>
      <c r="O73" s="127"/>
      <c r="Q73" s="65"/>
    </row>
    <row r="74" spans="1:17" s="1" customFormat="1" x14ac:dyDescent="0.2">
      <c r="A74" s="42" t="s">
        <v>488</v>
      </c>
      <c r="B74" s="42"/>
      <c r="C74" s="42"/>
      <c r="D74" s="42">
        <v>2</v>
      </c>
      <c r="E74" s="42" t="s">
        <v>493</v>
      </c>
      <c r="F74" s="42"/>
      <c r="G74" s="42"/>
      <c r="H74" s="42"/>
      <c r="I74" s="42"/>
      <c r="O74" s="127"/>
      <c r="Q74" s="65"/>
    </row>
    <row r="75" spans="1:17" s="1" customFormat="1" x14ac:dyDescent="0.2">
      <c r="A75" s="42" t="s">
        <v>499</v>
      </c>
      <c r="B75" s="42"/>
      <c r="C75" s="42"/>
      <c r="D75" s="42">
        <v>0</v>
      </c>
      <c r="E75" s="42" t="s">
        <v>493</v>
      </c>
      <c r="F75" s="42"/>
      <c r="G75" s="42"/>
      <c r="H75" s="42"/>
      <c r="I75" s="42"/>
      <c r="O75" s="127"/>
      <c r="Q75" s="65"/>
    </row>
    <row r="76" spans="1:17" s="1" customFormat="1" x14ac:dyDescent="0.2">
      <c r="A76" s="42" t="s">
        <v>495</v>
      </c>
      <c r="B76" s="42"/>
      <c r="C76" s="42"/>
      <c r="D76" s="42">
        <f>D64*D74</f>
        <v>400</v>
      </c>
      <c r="E76" s="42" t="s">
        <v>494</v>
      </c>
      <c r="F76" s="42"/>
      <c r="G76" s="42"/>
      <c r="H76" s="42"/>
      <c r="I76" s="42"/>
      <c r="O76" s="127"/>
      <c r="Q76" s="65"/>
    </row>
    <row r="77" spans="1:17" s="1" customFormat="1" x14ac:dyDescent="0.2">
      <c r="A77" s="42" t="s">
        <v>490</v>
      </c>
      <c r="B77" s="42"/>
      <c r="C77" s="42"/>
      <c r="D77" s="42">
        <f>D75*D65</f>
        <v>0</v>
      </c>
      <c r="E77" s="42" t="s">
        <v>485</v>
      </c>
      <c r="F77" s="42"/>
      <c r="G77" s="42"/>
      <c r="H77" s="42"/>
      <c r="I77" s="42"/>
      <c r="O77" s="127"/>
      <c r="Q77" s="65"/>
    </row>
    <row r="78" spans="1:17" s="1" customFormat="1" x14ac:dyDescent="0.2">
      <c r="A78" s="42" t="s">
        <v>491</v>
      </c>
      <c r="B78" s="42"/>
      <c r="C78" s="42"/>
      <c r="D78" s="42"/>
      <c r="E78" s="42" t="s">
        <v>493</v>
      </c>
      <c r="F78" s="42"/>
      <c r="G78" s="42"/>
      <c r="H78" s="42"/>
      <c r="I78" s="42"/>
      <c r="O78" s="127"/>
      <c r="Q78" s="65"/>
    </row>
    <row r="79" spans="1:17" s="1" customFormat="1" x14ac:dyDescent="0.2">
      <c r="A79" s="42" t="s">
        <v>496</v>
      </c>
      <c r="B79" s="42"/>
      <c r="C79" s="42"/>
      <c r="D79" s="42">
        <f>D71*D78</f>
        <v>0</v>
      </c>
      <c r="E79" s="42" t="s">
        <v>497</v>
      </c>
      <c r="F79" s="42"/>
      <c r="G79" s="42"/>
      <c r="H79" s="42"/>
      <c r="I79" s="42"/>
      <c r="O79" s="127"/>
      <c r="Q79" s="65"/>
    </row>
    <row r="80" spans="1:17" s="1" customFormat="1" x14ac:dyDescent="0.2">
      <c r="A80" s="42"/>
      <c r="B80" s="42"/>
      <c r="C80" s="42"/>
      <c r="D80" s="42"/>
      <c r="E80" s="42"/>
      <c r="F80" s="42"/>
      <c r="G80" s="42"/>
      <c r="H80" s="42"/>
      <c r="I80" s="42"/>
      <c r="O80" s="127"/>
      <c r="Q80" s="65"/>
    </row>
    <row r="81" spans="1:19" s="1" customFormat="1" x14ac:dyDescent="0.2">
      <c r="A81" s="105" t="s">
        <v>492</v>
      </c>
      <c r="B81" s="105"/>
      <c r="C81" s="105"/>
      <c r="D81" s="105">
        <f>D76+D77+D79</f>
        <v>400</v>
      </c>
      <c r="E81" s="105" t="s">
        <v>130</v>
      </c>
      <c r="F81" s="42"/>
      <c r="G81" s="42"/>
      <c r="H81" s="42"/>
      <c r="I81" s="42"/>
      <c r="O81" s="127"/>
      <c r="Q81" s="65"/>
    </row>
    <row r="82" spans="1:19" x14ac:dyDescent="0.2">
      <c r="A82" s="16"/>
      <c r="B82" s="16"/>
      <c r="C82" s="16"/>
      <c r="D82" s="16"/>
      <c r="E82" s="16"/>
      <c r="F82" s="16"/>
      <c r="G82" s="16"/>
      <c r="I82" s="16"/>
    </row>
    <row r="83" spans="1:19" x14ac:dyDescent="0.2">
      <c r="A83" s="16"/>
      <c r="B83" s="16"/>
      <c r="C83" s="16"/>
      <c r="D83" s="16"/>
      <c r="E83" s="16"/>
      <c r="F83" s="16"/>
      <c r="G83" s="16"/>
      <c r="I83" s="16"/>
    </row>
    <row r="84" spans="1:19" x14ac:dyDescent="0.2">
      <c r="A84" s="18" t="s">
        <v>501</v>
      </c>
      <c r="B84" s="18"/>
      <c r="C84" s="18"/>
      <c r="D84" s="18"/>
      <c r="E84" s="18"/>
      <c r="F84" s="16"/>
      <c r="G84" s="16"/>
      <c r="I84" s="16"/>
    </row>
    <row r="85" spans="1:19" x14ac:dyDescent="0.2">
      <c r="A85" s="75"/>
      <c r="B85" s="75"/>
      <c r="C85" s="75"/>
      <c r="D85" s="16"/>
      <c r="E85" s="16"/>
      <c r="F85" s="16"/>
      <c r="G85" s="16"/>
      <c r="I85" s="16"/>
    </row>
    <row r="86" spans="1:19" x14ac:dyDescent="0.2">
      <c r="A86" s="16" t="s">
        <v>68</v>
      </c>
      <c r="B86" s="16"/>
      <c r="C86" s="16"/>
      <c r="D86" s="16">
        <f>+D30</f>
        <v>34280.244568809525</v>
      </c>
      <c r="E86" s="16" t="s">
        <v>37</v>
      </c>
      <c r="F86" s="16"/>
      <c r="G86" s="16"/>
      <c r="H86" s="65">
        <f>D86/$D$91</f>
        <v>0.61446781442360032</v>
      </c>
      <c r="I86" s="16"/>
      <c r="J86" s="59"/>
    </row>
    <row r="87" spans="1:19" x14ac:dyDescent="0.2">
      <c r="A87" s="16" t="s">
        <v>58</v>
      </c>
      <c r="B87" s="16"/>
      <c r="C87" s="16"/>
      <c r="D87" s="16">
        <f>+D46</f>
        <v>20573.46</v>
      </c>
      <c r="E87" s="16" t="s">
        <v>37</v>
      </c>
      <c r="F87" s="16"/>
      <c r="G87" s="16"/>
      <c r="H87" s="65">
        <f t="shared" ref="H87:H89" si="0">D87/$D$91</f>
        <v>0.36877592795337466</v>
      </c>
      <c r="I87" s="16"/>
      <c r="J87" s="59"/>
    </row>
    <row r="88" spans="1:19" x14ac:dyDescent="0.2">
      <c r="A88" s="16" t="s">
        <v>67</v>
      </c>
      <c r="B88" s="16"/>
      <c r="C88" s="16"/>
      <c r="D88" s="91">
        <f>D59</f>
        <v>534.80666666666662</v>
      </c>
      <c r="E88" s="16" t="s">
        <v>37</v>
      </c>
      <c r="F88" s="16"/>
      <c r="G88" s="16"/>
      <c r="H88" s="65">
        <f t="shared" si="0"/>
        <v>9.5863226105696916E-3</v>
      </c>
      <c r="I88" s="16"/>
      <c r="J88" s="59"/>
    </row>
    <row r="89" spans="1:19" x14ac:dyDescent="0.2">
      <c r="A89" s="42" t="s">
        <v>498</v>
      </c>
      <c r="B89" s="16"/>
      <c r="C89" s="16"/>
      <c r="D89" s="91">
        <f>D81</f>
        <v>400</v>
      </c>
      <c r="E89" s="16" t="s">
        <v>37</v>
      </c>
      <c r="F89" s="16"/>
      <c r="G89" s="16"/>
      <c r="H89" s="65">
        <f t="shared" si="0"/>
        <v>7.1699350124553611E-3</v>
      </c>
      <c r="I89" s="16"/>
      <c r="J89" s="59"/>
      <c r="K89" s="59"/>
    </row>
    <row r="90" spans="1:19" x14ac:dyDescent="0.2">
      <c r="A90" s="16"/>
      <c r="B90" s="16"/>
      <c r="C90" s="16"/>
      <c r="D90" s="91"/>
      <c r="E90" s="16"/>
      <c r="F90" s="16"/>
      <c r="G90" s="16"/>
      <c r="H90" s="65">
        <f>H87+H88+H89</f>
        <v>0.38553218557639973</v>
      </c>
      <c r="I90" s="16"/>
    </row>
    <row r="91" spans="1:19" x14ac:dyDescent="0.2">
      <c r="A91" s="31" t="s">
        <v>185</v>
      </c>
      <c r="B91" s="31"/>
      <c r="C91" s="31"/>
      <c r="D91" s="319">
        <f>(SUM(D86:D89))</f>
        <v>55788.511235476188</v>
      </c>
      <c r="E91" s="31" t="s">
        <v>130</v>
      </c>
      <c r="F91" s="16"/>
      <c r="G91" s="16"/>
      <c r="I91" s="16"/>
    </row>
    <row r="92" spans="1:19" x14ac:dyDescent="0.2">
      <c r="A92" s="16"/>
      <c r="B92" s="16"/>
      <c r="C92" s="16"/>
      <c r="D92" s="318" t="s">
        <v>8</v>
      </c>
      <c r="E92" s="16"/>
      <c r="F92" s="16"/>
      <c r="G92" s="16"/>
      <c r="I92" s="16"/>
    </row>
    <row r="93" spans="1:19" s="94" customFormat="1" x14ac:dyDescent="0.2">
      <c r="A93" s="105" t="s">
        <v>376</v>
      </c>
      <c r="B93" s="144">
        <f>BDI!C12</f>
        <v>0.29709999999999998</v>
      </c>
      <c r="C93" s="105"/>
      <c r="D93" s="134">
        <f>D95-D91</f>
        <v>16574.768764523811</v>
      </c>
      <c r="E93" s="105" t="s">
        <v>130</v>
      </c>
      <c r="F93" s="16"/>
      <c r="G93" s="16"/>
      <c r="H93" s="134"/>
      <c r="I93" s="105"/>
      <c r="J93" s="38"/>
      <c r="K93" s="65"/>
      <c r="Q93" s="142"/>
      <c r="S93" s="120"/>
    </row>
    <row r="94" spans="1:19" x14ac:dyDescent="0.2">
      <c r="A94" s="16"/>
      <c r="B94" s="16"/>
      <c r="C94" s="16"/>
      <c r="D94" s="16"/>
      <c r="E94" s="16"/>
      <c r="F94" s="16"/>
      <c r="G94" s="16"/>
      <c r="H94" s="123"/>
      <c r="I94" s="124"/>
      <c r="J94" s="16"/>
    </row>
    <row r="95" spans="1:19" x14ac:dyDescent="0.2">
      <c r="A95" s="81" t="s">
        <v>377</v>
      </c>
      <c r="B95" s="84"/>
      <c r="C95" s="84"/>
      <c r="D95" s="31">
        <f>ROUND((D91*(1+B93)),2)</f>
        <v>72363.28</v>
      </c>
      <c r="E95" s="31" t="s">
        <v>37</v>
      </c>
      <c r="F95" s="16"/>
      <c r="G95" s="16"/>
      <c r="H95" s="122"/>
      <c r="I95" s="121">
        <f>493.33*146.68</f>
        <v>72361.644400000005</v>
      </c>
      <c r="J95" s="16"/>
      <c r="K95" s="83"/>
    </row>
    <row r="96" spans="1:19" ht="12.95" customHeight="1" x14ac:dyDescent="0.2">
      <c r="A96" s="82" t="s">
        <v>378</v>
      </c>
      <c r="B96" s="31"/>
      <c r="C96" s="31"/>
      <c r="D96" s="198">
        <v>493.33</v>
      </c>
      <c r="E96" s="31" t="s">
        <v>219</v>
      </c>
      <c r="F96" s="16"/>
      <c r="G96" s="16"/>
      <c r="I96" s="16"/>
    </row>
    <row r="97" spans="1:9" ht="14.25" customHeight="1" x14ac:dyDescent="0.2">
      <c r="A97" s="82" t="s">
        <v>299</v>
      </c>
      <c r="B97" s="31"/>
      <c r="C97" s="31"/>
      <c r="D97" s="31">
        <f>D95/D96</f>
        <v>146.68331542780695</v>
      </c>
      <c r="E97" s="84" t="s">
        <v>563</v>
      </c>
      <c r="F97" s="16"/>
      <c r="G97" s="16"/>
      <c r="H97" s="59"/>
      <c r="I97" s="16"/>
    </row>
    <row r="98" spans="1:9" x14ac:dyDescent="0.2">
      <c r="A98" s="16"/>
      <c r="B98" s="16"/>
      <c r="C98" s="16"/>
      <c r="D98" s="16"/>
      <c r="E98" s="16"/>
      <c r="F98" s="123"/>
      <c r="G98" s="124"/>
      <c r="I98" s="16"/>
    </row>
    <row r="99" spans="1:9" x14ac:dyDescent="0.2">
      <c r="A99" s="88"/>
      <c r="B99" s="88"/>
      <c r="C99" s="88"/>
      <c r="F99" s="122"/>
      <c r="G99" s="121"/>
      <c r="I99" s="16"/>
    </row>
    <row r="100" spans="1:9" x14ac:dyDescent="0.2">
      <c r="F100" s="16"/>
      <c r="G100" s="16"/>
      <c r="I100" s="16"/>
    </row>
    <row r="101" spans="1:9" x14ac:dyDescent="0.2">
      <c r="F101" s="11"/>
      <c r="G101" s="16"/>
      <c r="I101" s="16"/>
    </row>
    <row r="102" spans="1:9" x14ac:dyDescent="0.2">
      <c r="D102" s="16"/>
      <c r="F102" s="16"/>
      <c r="G102" s="16"/>
    </row>
    <row r="103" spans="1:9" x14ac:dyDescent="0.2">
      <c r="D103" s="13">
        <f>D91/D96</f>
        <v>113.08558416369608</v>
      </c>
      <c r="G103" s="16"/>
    </row>
    <row r="104" spans="1:9" x14ac:dyDescent="0.2">
      <c r="G104" s="16"/>
    </row>
    <row r="105" spans="1:9" x14ac:dyDescent="0.2">
      <c r="D105" s="89"/>
      <c r="G105" s="16"/>
    </row>
  </sheetData>
  <mergeCells count="4">
    <mergeCell ref="A1:E1"/>
    <mergeCell ref="A2:E2"/>
    <mergeCell ref="A4:B4"/>
    <mergeCell ref="A8:E8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colBreaks count="1" manualBreakCount="1">
    <brk id="7" max="1048575" man="1"/>
  </colBreaks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73120-91F3-41D3-8FB1-DA85AB1A64BC}">
  <dimension ref="A1:S105"/>
  <sheetViews>
    <sheetView view="pageBreakPreview" topLeftCell="A67" zoomScaleNormal="100" zoomScaleSheetLayoutView="100" workbookViewId="0">
      <selection activeCell="D96" sqref="D96"/>
    </sheetView>
  </sheetViews>
  <sheetFormatPr defaultColWidth="12" defaultRowHeight="12.75" x14ac:dyDescent="0.2"/>
  <cols>
    <col min="1" max="1" width="50.83203125" style="13" customWidth="1"/>
    <col min="2" max="2" width="10.83203125" style="13" customWidth="1"/>
    <col min="3" max="3" width="7.83203125" style="13" customWidth="1"/>
    <col min="4" max="4" width="14.83203125" style="13" customWidth="1"/>
    <col min="5" max="5" width="20.83203125" style="13" customWidth="1"/>
    <col min="6" max="6" width="14.83203125" style="13" customWidth="1"/>
    <col min="7" max="7" width="17" style="13" customWidth="1"/>
    <col min="8" max="8" width="16.6640625" style="16" customWidth="1"/>
    <col min="9" max="9" width="6.6640625" style="13" customWidth="1"/>
    <col min="10" max="16384" width="12" style="11"/>
  </cols>
  <sheetData>
    <row r="1" spans="1:9" ht="18.75" hidden="1" x14ac:dyDescent="0.3">
      <c r="A1" s="335" t="s">
        <v>215</v>
      </c>
      <c r="B1" s="335"/>
      <c r="C1" s="335"/>
      <c r="D1" s="335"/>
      <c r="E1" s="335"/>
      <c r="F1" s="10"/>
      <c r="G1" s="11"/>
      <c r="H1" s="10"/>
      <c r="I1" s="11"/>
    </row>
    <row r="2" spans="1:9" ht="18" hidden="1" customHeight="1" x14ac:dyDescent="0.25">
      <c r="A2" s="335"/>
      <c r="B2" s="335"/>
      <c r="C2" s="335"/>
      <c r="D2" s="335"/>
      <c r="E2" s="335"/>
      <c r="F2" s="12"/>
      <c r="G2" s="11"/>
      <c r="H2" s="12"/>
      <c r="I2" s="11"/>
    </row>
    <row r="3" spans="1:9" hidden="1" x14ac:dyDescent="0.2">
      <c r="G3" s="11"/>
      <c r="H3" s="13"/>
      <c r="I3" s="11"/>
    </row>
    <row r="4" spans="1:9" hidden="1" x14ac:dyDescent="0.2">
      <c r="A4" s="358"/>
      <c r="B4" s="358"/>
      <c r="G4" s="11"/>
      <c r="H4" s="13"/>
      <c r="I4" s="11"/>
    </row>
    <row r="5" spans="1:9" hidden="1" x14ac:dyDescent="0.2">
      <c r="G5" s="11"/>
      <c r="H5" s="13"/>
      <c r="I5" s="11"/>
    </row>
    <row r="6" spans="1:9" hidden="1" x14ac:dyDescent="0.2">
      <c r="A6" s="14" t="s">
        <v>217</v>
      </c>
      <c r="D6" s="14" t="s">
        <v>211</v>
      </c>
      <c r="G6" s="11"/>
      <c r="H6" s="13"/>
      <c r="I6" s="11"/>
    </row>
    <row r="7" spans="1:9" x14ac:dyDescent="0.2">
      <c r="F7" s="68"/>
      <c r="G7" s="11"/>
      <c r="H7" s="13"/>
      <c r="I7" s="11"/>
    </row>
    <row r="8" spans="1:9" x14ac:dyDescent="0.2">
      <c r="A8" s="336" t="s">
        <v>0</v>
      </c>
      <c r="B8" s="336"/>
      <c r="C8" s="336"/>
      <c r="D8" s="336"/>
      <c r="E8" s="336"/>
      <c r="F8" s="16"/>
      <c r="G8" s="16"/>
      <c r="H8" s="68"/>
      <c r="I8" s="11"/>
    </row>
    <row r="9" spans="1:9" x14ac:dyDescent="0.2">
      <c r="A9" s="16"/>
      <c r="B9" s="16"/>
      <c r="C9" s="16"/>
      <c r="D9" s="16"/>
      <c r="E9" s="16"/>
      <c r="F9" s="18"/>
      <c r="G9" s="18"/>
      <c r="I9" s="16"/>
    </row>
    <row r="10" spans="1:9" x14ac:dyDescent="0.2">
      <c r="A10" s="69" t="s">
        <v>631</v>
      </c>
      <c r="B10" s="69"/>
      <c r="C10" s="69"/>
      <c r="D10" s="18"/>
      <c r="E10" s="18"/>
      <c r="F10" s="18"/>
      <c r="G10" s="18"/>
      <c r="H10" s="18"/>
      <c r="I10" s="18"/>
    </row>
    <row r="11" spans="1:9" x14ac:dyDescent="0.2">
      <c r="A11" s="69"/>
      <c r="B11" s="69"/>
      <c r="C11" s="69"/>
      <c r="D11" s="18"/>
      <c r="E11" s="18"/>
      <c r="F11" s="18"/>
      <c r="G11" s="18"/>
      <c r="H11" s="18"/>
      <c r="I11" s="18"/>
    </row>
    <row r="12" spans="1:9" x14ac:dyDescent="0.2">
      <c r="A12" s="69"/>
      <c r="B12" s="69"/>
      <c r="C12" s="69"/>
      <c r="D12" s="18"/>
      <c r="E12" s="18"/>
      <c r="H12" s="18"/>
      <c r="I12" s="18"/>
    </row>
    <row r="13" spans="1:9" x14ac:dyDescent="0.2">
      <c r="A13" s="80" t="s">
        <v>34</v>
      </c>
      <c r="B13" s="78"/>
      <c r="C13" s="78"/>
      <c r="D13" s="16"/>
      <c r="E13" s="16"/>
      <c r="I13" s="16"/>
    </row>
    <row r="14" spans="1:9" x14ac:dyDescent="0.2">
      <c r="A14" s="16"/>
      <c r="B14" s="16"/>
      <c r="C14" s="16"/>
      <c r="D14" s="85" t="s">
        <v>423</v>
      </c>
      <c r="E14" s="85"/>
      <c r="F14" s="85" t="s">
        <v>422</v>
      </c>
      <c r="G14" s="16"/>
      <c r="I14" s="16"/>
    </row>
    <row r="15" spans="1:9" x14ac:dyDescent="0.2">
      <c r="A15" s="70" t="s">
        <v>88</v>
      </c>
      <c r="B15" s="70"/>
      <c r="C15" s="70"/>
      <c r="D15" s="16">
        <v>4</v>
      </c>
      <c r="E15" s="16" t="s">
        <v>35</v>
      </c>
      <c r="F15" s="16"/>
      <c r="G15" s="16" t="s">
        <v>35</v>
      </c>
      <c r="H15" s="16" t="s">
        <v>8</v>
      </c>
      <c r="I15" s="16"/>
    </row>
    <row r="16" spans="1:9" x14ac:dyDescent="0.2">
      <c r="A16" s="70" t="s">
        <v>462</v>
      </c>
      <c r="B16" s="61"/>
      <c r="C16" s="61"/>
      <c r="D16" s="16">
        <f>COLETOR!B32</f>
        <v>4484.9060142857152</v>
      </c>
      <c r="E16" s="61" t="s">
        <v>36</v>
      </c>
      <c r="F16" s="16">
        <f>+COLETOR!B59</f>
        <v>4871.7265442857151</v>
      </c>
      <c r="G16" s="61" t="s">
        <v>36</v>
      </c>
      <c r="I16" s="16"/>
    </row>
    <row r="17" spans="1:9" x14ac:dyDescent="0.2">
      <c r="A17" s="61" t="s">
        <v>461</v>
      </c>
      <c r="B17" s="61"/>
      <c r="C17" s="61"/>
      <c r="D17" s="16">
        <f>ROUND((((D15*(D16/220)*1.5)*4*4)),2)</f>
        <v>1957.05</v>
      </c>
      <c r="E17" s="16" t="s">
        <v>37</v>
      </c>
      <c r="F17" s="16">
        <f>ROUND((((F15*(F16/220)*1.5)*4*4)+(F15*((F16/220)*2)*8*1)),2)</f>
        <v>0</v>
      </c>
      <c r="G17" s="16" t="s">
        <v>37</v>
      </c>
      <c r="I17" s="16"/>
    </row>
    <row r="18" spans="1:9" x14ac:dyDescent="0.2">
      <c r="A18" s="70" t="s">
        <v>47</v>
      </c>
      <c r="B18" s="70"/>
      <c r="C18" s="70"/>
      <c r="D18" s="16">
        <f>(D15*D16)+D17</f>
        <v>19896.67405714286</v>
      </c>
      <c r="E18" s="16" t="s">
        <v>43</v>
      </c>
      <c r="F18" s="16">
        <f>(F15*F16)+F17</f>
        <v>0</v>
      </c>
      <c r="G18" s="16" t="s">
        <v>43</v>
      </c>
      <c r="I18" s="16"/>
    </row>
    <row r="19" spans="1:9" x14ac:dyDescent="0.2">
      <c r="A19" s="61"/>
      <c r="B19" s="61"/>
      <c r="C19" s="61"/>
      <c r="D19" s="16"/>
      <c r="E19" s="16"/>
      <c r="I19" s="16"/>
    </row>
    <row r="20" spans="1:9" x14ac:dyDescent="0.2">
      <c r="A20" s="61" t="s">
        <v>38</v>
      </c>
      <c r="B20" s="61"/>
      <c r="C20" s="61"/>
      <c r="D20" s="16"/>
      <c r="E20" s="16" t="s">
        <v>35</v>
      </c>
      <c r="F20" s="16">
        <v>0</v>
      </c>
      <c r="G20" s="16" t="s">
        <v>35</v>
      </c>
      <c r="I20" s="16"/>
    </row>
    <row r="21" spans="1:9" x14ac:dyDescent="0.2">
      <c r="A21" s="16" t="s">
        <v>39</v>
      </c>
      <c r="B21" s="16"/>
      <c r="C21" s="16"/>
      <c r="D21" s="16">
        <f>'ENC I'!B32</f>
        <v>9061.6866043333339</v>
      </c>
      <c r="E21" s="16" t="s">
        <v>36</v>
      </c>
      <c r="F21" s="16">
        <f>'ENC I'!B59</f>
        <v>9715.8399713333329</v>
      </c>
      <c r="G21" s="61" t="s">
        <v>36</v>
      </c>
      <c r="I21" s="16"/>
    </row>
    <row r="22" spans="1:9" x14ac:dyDescent="0.2">
      <c r="A22" s="70" t="s">
        <v>42</v>
      </c>
      <c r="B22" s="70"/>
      <c r="C22" s="70"/>
      <c r="D22" s="16">
        <f>+D21*D20</f>
        <v>0</v>
      </c>
      <c r="E22" s="16" t="s">
        <v>37</v>
      </c>
      <c r="F22" s="16"/>
      <c r="G22" s="16" t="s">
        <v>37</v>
      </c>
      <c r="I22" s="16"/>
    </row>
    <row r="23" spans="1:9" x14ac:dyDescent="0.2">
      <c r="A23" s="16" t="s">
        <v>48</v>
      </c>
      <c r="B23" s="16"/>
      <c r="C23" s="16"/>
      <c r="D23" s="16">
        <f>D22</f>
        <v>0</v>
      </c>
      <c r="E23" s="16" t="s">
        <v>43</v>
      </c>
      <c r="F23" s="16"/>
      <c r="G23" s="16" t="s">
        <v>43</v>
      </c>
      <c r="I23" s="16"/>
    </row>
    <row r="24" spans="1:9" x14ac:dyDescent="0.2">
      <c r="A24" s="16"/>
      <c r="B24" s="16"/>
      <c r="C24" s="16"/>
      <c r="D24" s="16"/>
      <c r="E24" s="16"/>
      <c r="F24" s="16"/>
      <c r="I24" s="16"/>
    </row>
    <row r="25" spans="1:9" x14ac:dyDescent="0.2">
      <c r="A25" s="61" t="s">
        <v>49</v>
      </c>
      <c r="B25" s="61"/>
      <c r="C25" s="61"/>
      <c r="D25" s="16">
        <v>6</v>
      </c>
      <c r="E25" s="16" t="s">
        <v>35</v>
      </c>
      <c r="F25" s="16"/>
      <c r="G25" s="16" t="s">
        <v>35</v>
      </c>
      <c r="I25" s="16"/>
    </row>
    <row r="26" spans="1:9" x14ac:dyDescent="0.2">
      <c r="A26" s="70" t="s">
        <v>464</v>
      </c>
      <c r="B26" s="61"/>
      <c r="C26" s="61"/>
      <c r="D26" s="16">
        <f>MOTORISTA!B32</f>
        <v>6484.3952558333331</v>
      </c>
      <c r="E26" s="16" t="s">
        <v>36</v>
      </c>
      <c r="F26" s="16">
        <f>+MOTORISTA!B58</f>
        <v>7222.7705586458324</v>
      </c>
      <c r="G26" s="61" t="s">
        <v>36</v>
      </c>
      <c r="I26" s="16" t="s">
        <v>293</v>
      </c>
    </row>
    <row r="27" spans="1:9" x14ac:dyDescent="0.2">
      <c r="A27" s="61" t="s">
        <v>461</v>
      </c>
      <c r="B27" s="61"/>
      <c r="C27" s="61"/>
      <c r="D27" s="16">
        <f>ROUND((((D25*(D26/220)*1.5)*4*4)),2)</f>
        <v>4244.33</v>
      </c>
      <c r="E27" s="16" t="s">
        <v>37</v>
      </c>
      <c r="F27" s="16">
        <f>ROUND((((F25*(F26/220)*1.5)*4*4)+(F25*((F26/220)*2)*8*1)),2)</f>
        <v>0</v>
      </c>
      <c r="G27" s="16" t="s">
        <v>37</v>
      </c>
      <c r="I27" s="16"/>
    </row>
    <row r="28" spans="1:9" x14ac:dyDescent="0.2">
      <c r="A28" s="70" t="s">
        <v>52</v>
      </c>
      <c r="B28" s="70"/>
      <c r="C28" s="70"/>
      <c r="D28" s="16">
        <f>(D25*D26)+D27</f>
        <v>43150.701535</v>
      </c>
      <c r="E28" s="16" t="s">
        <v>43</v>
      </c>
      <c r="F28" s="16">
        <f>(F25*F26)+F27</f>
        <v>0</v>
      </c>
      <c r="G28" s="16" t="s">
        <v>43</v>
      </c>
      <c r="I28" s="16"/>
    </row>
    <row r="29" spans="1:9" x14ac:dyDescent="0.2">
      <c r="A29" s="16"/>
      <c r="B29" s="16"/>
      <c r="C29" s="16"/>
      <c r="D29" s="16"/>
      <c r="E29" s="16"/>
      <c r="G29" s="16"/>
      <c r="I29" s="16"/>
    </row>
    <row r="30" spans="1:9" x14ac:dyDescent="0.2">
      <c r="A30" s="31" t="s">
        <v>191</v>
      </c>
      <c r="B30" s="31"/>
      <c r="C30" s="31"/>
      <c r="D30" s="31">
        <f>D18+D23+D28+F18+F28</f>
        <v>63047.37559214286</v>
      </c>
      <c r="E30" s="31" t="s">
        <v>130</v>
      </c>
      <c r="F30" s="16"/>
      <c r="G30" s="16"/>
      <c r="I30" s="16"/>
    </row>
    <row r="31" spans="1:9" x14ac:dyDescent="0.2">
      <c r="A31" s="16"/>
      <c r="B31" s="16"/>
      <c r="C31" s="16"/>
      <c r="D31" s="16"/>
      <c r="E31" s="16"/>
      <c r="F31" s="85"/>
      <c r="G31" s="16"/>
      <c r="I31" s="16"/>
    </row>
    <row r="32" spans="1:9" x14ac:dyDescent="0.2">
      <c r="A32" s="87" t="s">
        <v>87</v>
      </c>
      <c r="B32" s="75"/>
      <c r="C32" s="75"/>
      <c r="D32" s="16"/>
      <c r="E32" s="16"/>
      <c r="F32" s="16" t="s">
        <v>8</v>
      </c>
      <c r="G32" s="16"/>
      <c r="I32" s="16"/>
    </row>
    <row r="33" spans="1:9" x14ac:dyDescent="0.2">
      <c r="A33" s="16"/>
      <c r="B33" s="16"/>
      <c r="C33" s="16"/>
      <c r="D33" s="16"/>
      <c r="E33" s="16"/>
      <c r="F33" s="16"/>
      <c r="G33" s="16"/>
      <c r="I33" s="16"/>
    </row>
    <row r="34" spans="1:9" x14ac:dyDescent="0.2">
      <c r="A34" s="70" t="s">
        <v>625</v>
      </c>
      <c r="B34" s="70"/>
      <c r="C34" s="70"/>
      <c r="D34" s="16">
        <v>4</v>
      </c>
      <c r="E34" s="16" t="s">
        <v>35</v>
      </c>
      <c r="F34" s="16"/>
      <c r="G34" s="16" t="s">
        <v>35</v>
      </c>
      <c r="H34" s="16" t="s">
        <v>8</v>
      </c>
      <c r="I34" s="16"/>
    </row>
    <row r="35" spans="1:9" x14ac:dyDescent="0.2">
      <c r="A35" s="16" t="s">
        <v>318</v>
      </c>
      <c r="B35" s="16"/>
      <c r="C35" s="16"/>
      <c r="D35" s="16">
        <f>'basc 12m3'!B62</f>
        <v>11459.651982762523</v>
      </c>
      <c r="E35" s="16" t="s">
        <v>36</v>
      </c>
      <c r="F35" s="16">
        <f>'BASCULANTE 6'!B64</f>
        <v>3438.5501297625215</v>
      </c>
      <c r="G35" s="16" t="s">
        <v>36</v>
      </c>
      <c r="I35" s="16"/>
    </row>
    <row r="36" spans="1:9" x14ac:dyDescent="0.2">
      <c r="A36" s="61" t="s">
        <v>626</v>
      </c>
      <c r="B36" s="61"/>
      <c r="C36" s="61"/>
      <c r="D36" s="16">
        <f>ROUND(+D35*D34,2)</f>
        <v>45838.61</v>
      </c>
      <c r="E36" s="16" t="s">
        <v>37</v>
      </c>
      <c r="F36" s="16">
        <f>ROUND(+F35*F34,2)</f>
        <v>0</v>
      </c>
      <c r="G36" s="16" t="s">
        <v>37</v>
      </c>
      <c r="I36" s="16"/>
    </row>
    <row r="37" spans="1:9" x14ac:dyDescent="0.2">
      <c r="A37" s="61"/>
      <c r="B37" s="61"/>
      <c r="C37" s="61"/>
      <c r="D37" s="16"/>
      <c r="E37" s="16"/>
      <c r="F37" s="16"/>
      <c r="G37" s="16"/>
      <c r="I37" s="16"/>
    </row>
    <row r="38" spans="1:9" x14ac:dyDescent="0.2">
      <c r="A38" s="70" t="s">
        <v>573</v>
      </c>
      <c r="B38" s="70"/>
      <c r="C38" s="70"/>
      <c r="D38" s="16">
        <v>2</v>
      </c>
      <c r="E38" s="16" t="s">
        <v>35</v>
      </c>
      <c r="F38" s="16"/>
      <c r="G38" s="16"/>
      <c r="H38" s="11"/>
      <c r="I38" s="11"/>
    </row>
    <row r="39" spans="1:9" x14ac:dyDescent="0.2">
      <c r="A39" s="16" t="s">
        <v>318</v>
      </c>
      <c r="B39" s="16"/>
      <c r="C39" s="16"/>
      <c r="D39" s="16">
        <f>(retro!D34*(8*26))</f>
        <v>30295.346444511422</v>
      </c>
      <c r="E39" s="16" t="s">
        <v>36</v>
      </c>
      <c r="F39" s="16"/>
      <c r="G39" s="16"/>
      <c r="H39" s="11"/>
      <c r="I39" s="11"/>
    </row>
    <row r="40" spans="1:9" x14ac:dyDescent="0.2">
      <c r="A40" s="70" t="s">
        <v>93</v>
      </c>
      <c r="B40" s="70"/>
      <c r="C40" s="70"/>
      <c r="D40" s="16">
        <f>ROUND(D39*D38,2)</f>
        <v>60590.69</v>
      </c>
      <c r="E40" s="16" t="s">
        <v>37</v>
      </c>
      <c r="F40" s="16"/>
      <c r="G40" s="16"/>
      <c r="H40" s="11"/>
      <c r="I40" s="11"/>
    </row>
    <row r="41" spans="1:9" hidden="1" x14ac:dyDescent="0.2">
      <c r="A41" s="70"/>
      <c r="B41" s="70"/>
      <c r="C41" s="70"/>
      <c r="D41" s="16"/>
      <c r="E41" s="16"/>
      <c r="F41" s="16"/>
      <c r="G41" s="16"/>
      <c r="H41" s="11"/>
      <c r="I41" s="11"/>
    </row>
    <row r="42" spans="1:9" hidden="1" x14ac:dyDescent="0.2">
      <c r="A42" s="70" t="s">
        <v>533</v>
      </c>
      <c r="B42" s="70"/>
      <c r="C42" s="70"/>
      <c r="D42" s="16"/>
      <c r="E42" s="16" t="s">
        <v>35</v>
      </c>
      <c r="F42" s="16"/>
      <c r="G42" s="16"/>
      <c r="H42" s="11"/>
      <c r="I42" s="11"/>
    </row>
    <row r="43" spans="1:9" hidden="1" x14ac:dyDescent="0.2">
      <c r="A43" s="16" t="s">
        <v>534</v>
      </c>
      <c r="B43" s="16"/>
      <c r="C43" s="16"/>
      <c r="D43" s="16"/>
      <c r="E43" s="16" t="s">
        <v>36</v>
      </c>
      <c r="F43" s="16"/>
      <c r="G43" s="16"/>
      <c r="H43" s="11"/>
      <c r="I43" s="11"/>
    </row>
    <row r="44" spans="1:9" hidden="1" x14ac:dyDescent="0.2">
      <c r="A44" s="70" t="s">
        <v>54</v>
      </c>
      <c r="B44" s="70"/>
      <c r="C44" s="70"/>
      <c r="D44" s="16">
        <f>ROUND(+D43*D42,2)</f>
        <v>0</v>
      </c>
      <c r="E44" s="16" t="s">
        <v>37</v>
      </c>
      <c r="F44" s="16"/>
      <c r="G44" s="16"/>
      <c r="H44" s="11"/>
      <c r="I44" s="11"/>
    </row>
    <row r="45" spans="1:9" x14ac:dyDescent="0.2">
      <c r="A45" s="16"/>
      <c r="B45" s="16"/>
      <c r="C45" s="16"/>
      <c r="D45" s="16"/>
      <c r="E45" s="16"/>
      <c r="F45" s="16"/>
      <c r="G45" s="16"/>
      <c r="I45" s="16"/>
    </row>
    <row r="46" spans="1:9" x14ac:dyDescent="0.2">
      <c r="A46" s="31" t="s">
        <v>192</v>
      </c>
      <c r="B46" s="31"/>
      <c r="C46" s="31"/>
      <c r="D46" s="31">
        <f>D36+F36+D40+D44</f>
        <v>106429.3</v>
      </c>
      <c r="E46" s="31" t="s">
        <v>130</v>
      </c>
      <c r="F46" s="16"/>
      <c r="G46" s="16"/>
      <c r="I46" s="16"/>
    </row>
    <row r="47" spans="1:9" x14ac:dyDescent="0.2">
      <c r="A47" s="16"/>
      <c r="B47" s="16"/>
      <c r="C47" s="16"/>
      <c r="D47" s="16"/>
      <c r="E47" s="16"/>
      <c r="F47" s="16"/>
      <c r="G47" s="16"/>
      <c r="I47" s="16"/>
    </row>
    <row r="48" spans="1:9" x14ac:dyDescent="0.2">
      <c r="A48" s="87" t="s">
        <v>500</v>
      </c>
      <c r="B48" s="75"/>
      <c r="C48" s="75"/>
      <c r="D48" s="76"/>
      <c r="E48" s="16"/>
      <c r="F48" s="16"/>
      <c r="G48" s="16"/>
      <c r="I48" s="11"/>
    </row>
    <row r="49" spans="1:17" x14ac:dyDescent="0.2">
      <c r="A49" s="75"/>
      <c r="B49" s="75"/>
      <c r="C49" s="75"/>
      <c r="D49" s="76"/>
      <c r="E49" s="16"/>
      <c r="F49" s="16"/>
      <c r="G49" s="11"/>
      <c r="I49" s="11"/>
    </row>
    <row r="50" spans="1:17" x14ac:dyDescent="0.2">
      <c r="A50" s="22" t="s">
        <v>126</v>
      </c>
      <c r="B50" s="181">
        <v>4</v>
      </c>
      <c r="C50" s="74" t="s">
        <v>113</v>
      </c>
      <c r="D50" s="16">
        <f>B50*Planilha2!U4</f>
        <v>54.460000000000008</v>
      </c>
      <c r="E50" s="16" t="s">
        <v>37</v>
      </c>
      <c r="F50" s="16"/>
      <c r="G50" s="11"/>
      <c r="H50" s="90"/>
      <c r="I50" s="16"/>
    </row>
    <row r="51" spans="1:17" x14ac:dyDescent="0.2">
      <c r="A51" s="16" t="s">
        <v>115</v>
      </c>
      <c r="B51" s="181">
        <v>4</v>
      </c>
      <c r="C51" s="74" t="s">
        <v>113</v>
      </c>
      <c r="D51" s="16">
        <f>B51*Planilha2!U3</f>
        <v>61.866666666666667</v>
      </c>
      <c r="E51" s="16" t="s">
        <v>37</v>
      </c>
      <c r="F51" s="16"/>
      <c r="G51" s="16"/>
      <c r="H51" s="86"/>
      <c r="I51" s="16"/>
    </row>
    <row r="52" spans="1:17" x14ac:dyDescent="0.2">
      <c r="A52" s="16" t="s">
        <v>116</v>
      </c>
      <c r="B52" s="181">
        <v>4</v>
      </c>
      <c r="C52" s="74" t="s">
        <v>113</v>
      </c>
      <c r="D52" s="16">
        <f>B52*Planilha2!U6</f>
        <v>135.42666666666665</v>
      </c>
      <c r="E52" s="16" t="s">
        <v>37</v>
      </c>
      <c r="F52" s="16"/>
      <c r="G52" s="16"/>
      <c r="H52" s="86"/>
      <c r="I52" s="16"/>
    </row>
    <row r="53" spans="1:17" x14ac:dyDescent="0.2">
      <c r="A53" s="16" t="s">
        <v>117</v>
      </c>
      <c r="B53" s="181">
        <v>4</v>
      </c>
      <c r="C53" s="74" t="s">
        <v>113</v>
      </c>
      <c r="D53" s="16">
        <f>B53*Planilha2!U5</f>
        <v>174.53333333333333</v>
      </c>
      <c r="E53" s="16" t="s">
        <v>37</v>
      </c>
      <c r="F53" s="16"/>
      <c r="G53" s="16"/>
      <c r="H53" s="86"/>
      <c r="I53" s="16"/>
    </row>
    <row r="54" spans="1:17" x14ac:dyDescent="0.2">
      <c r="A54" s="16" t="s">
        <v>118</v>
      </c>
      <c r="B54" s="181">
        <v>4</v>
      </c>
      <c r="C54" s="74" t="s">
        <v>113</v>
      </c>
      <c r="D54" s="16">
        <f>B54*Planilha2!U7</f>
        <v>103.46</v>
      </c>
      <c r="E54" s="16" t="s">
        <v>37</v>
      </c>
      <c r="F54" s="16"/>
      <c r="G54" s="16"/>
      <c r="H54" s="86"/>
      <c r="I54" s="16"/>
    </row>
    <row r="55" spans="1:17" x14ac:dyDescent="0.2">
      <c r="A55" s="16" t="s">
        <v>123</v>
      </c>
      <c r="B55" s="181">
        <v>4</v>
      </c>
      <c r="C55" s="74" t="s">
        <v>113</v>
      </c>
      <c r="D55" s="16">
        <f>B55*Planilha2!U12</f>
        <v>16.940833333333334</v>
      </c>
      <c r="E55" s="16" t="s">
        <v>37</v>
      </c>
      <c r="F55" s="16"/>
      <c r="G55" s="16"/>
      <c r="H55" s="86"/>
      <c r="I55" s="16"/>
    </row>
    <row r="56" spans="1:17" x14ac:dyDescent="0.2">
      <c r="A56" s="16" t="s">
        <v>104</v>
      </c>
      <c r="B56" s="181"/>
      <c r="C56" s="74" t="s">
        <v>113</v>
      </c>
      <c r="D56" s="16"/>
      <c r="E56" s="16" t="s">
        <v>37</v>
      </c>
      <c r="F56" s="16"/>
      <c r="G56" s="16"/>
      <c r="H56" s="86"/>
      <c r="I56" s="16"/>
    </row>
    <row r="57" spans="1:17" x14ac:dyDescent="0.2">
      <c r="A57" s="42" t="s">
        <v>472</v>
      </c>
      <c r="B57" s="179">
        <f>(D15+F15+D20+F20+D25+F25)*2*26</f>
        <v>520</v>
      </c>
      <c r="C57" s="107" t="s">
        <v>473</v>
      </c>
      <c r="D57" s="42">
        <f>B57*Planilha2!R27</f>
        <v>332.8</v>
      </c>
      <c r="E57" s="42" t="s">
        <v>43</v>
      </c>
      <c r="F57" s="16"/>
      <c r="G57" s="16"/>
      <c r="H57" s="86"/>
      <c r="I57" s="16"/>
    </row>
    <row r="58" spans="1:17" x14ac:dyDescent="0.2">
      <c r="A58" s="16"/>
      <c r="B58" s="16"/>
      <c r="C58" s="16"/>
      <c r="D58" s="16"/>
      <c r="E58" s="16"/>
      <c r="F58" s="16"/>
      <c r="G58" s="16"/>
      <c r="I58" s="16"/>
    </row>
    <row r="59" spans="1:17" x14ac:dyDescent="0.2">
      <c r="A59" s="31" t="s">
        <v>189</v>
      </c>
      <c r="B59" s="31"/>
      <c r="C59" s="31"/>
      <c r="D59" s="31">
        <f>SUM(D50:D57)</f>
        <v>879.48749999999995</v>
      </c>
      <c r="E59" s="31" t="s">
        <v>130</v>
      </c>
      <c r="F59" s="16"/>
      <c r="G59" s="16"/>
      <c r="I59" s="16"/>
    </row>
    <row r="60" spans="1:17" x14ac:dyDescent="0.2">
      <c r="A60" s="16"/>
      <c r="B60" s="16"/>
      <c r="C60" s="16"/>
      <c r="D60" s="16"/>
      <c r="E60" s="16"/>
      <c r="F60" s="16"/>
      <c r="G60" s="16"/>
      <c r="I60" s="16"/>
    </row>
    <row r="61" spans="1:17" s="1" customFormat="1" x14ac:dyDescent="0.2">
      <c r="A61" s="109" t="s">
        <v>470</v>
      </c>
      <c r="B61" s="42"/>
      <c r="C61" s="42"/>
      <c r="D61" s="42"/>
      <c r="E61" s="42"/>
      <c r="F61" s="42"/>
      <c r="G61" s="42"/>
      <c r="H61" s="42"/>
      <c r="I61" s="42"/>
      <c r="O61" s="127"/>
      <c r="Q61" s="65"/>
    </row>
    <row r="62" spans="1:17" s="1" customFormat="1" x14ac:dyDescent="0.2">
      <c r="A62" s="109"/>
      <c r="B62" s="42"/>
      <c r="C62" s="42"/>
      <c r="D62" s="42"/>
      <c r="E62" s="42"/>
      <c r="F62" s="42"/>
      <c r="G62" s="42"/>
      <c r="H62" s="42"/>
      <c r="I62" s="42"/>
      <c r="O62" s="127"/>
      <c r="Q62" s="65"/>
    </row>
    <row r="63" spans="1:17" s="1" customFormat="1" x14ac:dyDescent="0.2">
      <c r="A63" s="104" t="s">
        <v>478</v>
      </c>
      <c r="B63" s="42"/>
      <c r="C63" s="42"/>
      <c r="D63" s="42"/>
      <c r="E63" s="42"/>
      <c r="F63" s="42"/>
      <c r="G63" s="42"/>
      <c r="H63" s="42"/>
      <c r="I63" s="42"/>
      <c r="O63" s="127"/>
      <c r="Q63" s="65"/>
    </row>
    <row r="64" spans="1:17" s="1" customFormat="1" x14ac:dyDescent="0.2">
      <c r="A64" s="104" t="s">
        <v>476</v>
      </c>
      <c r="B64" s="42"/>
      <c r="C64" s="42"/>
      <c r="D64" s="42">
        <f>DOMICILIAR!D72</f>
        <v>200</v>
      </c>
      <c r="E64" s="42" t="s">
        <v>475</v>
      </c>
      <c r="F64" s="42"/>
      <c r="G64" s="42"/>
      <c r="H64" s="42"/>
      <c r="I64" s="42"/>
      <c r="O64" s="127"/>
      <c r="Q64" s="65"/>
    </row>
    <row r="65" spans="1:17" s="1" customFormat="1" x14ac:dyDescent="0.2">
      <c r="A65" s="104" t="s">
        <v>477</v>
      </c>
      <c r="B65" s="42"/>
      <c r="C65" s="42"/>
      <c r="D65" s="42">
        <f>DOMICILIAR!D73</f>
        <v>200</v>
      </c>
      <c r="E65" s="42" t="s">
        <v>485</v>
      </c>
      <c r="F65" s="42"/>
      <c r="G65" s="42"/>
      <c r="H65" s="42"/>
      <c r="I65" s="42"/>
      <c r="O65" s="127"/>
      <c r="Q65" s="65"/>
    </row>
    <row r="66" spans="1:17" s="1" customFormat="1" x14ac:dyDescent="0.2">
      <c r="A66" s="104"/>
      <c r="B66" s="42"/>
      <c r="C66" s="42"/>
      <c r="D66" s="42"/>
      <c r="E66" s="42"/>
      <c r="F66" s="42"/>
      <c r="G66" s="42"/>
      <c r="H66" s="42"/>
      <c r="I66" s="42"/>
      <c r="O66" s="127"/>
      <c r="Q66" s="65"/>
    </row>
    <row r="67" spans="1:17" s="1" customFormat="1" x14ac:dyDescent="0.2">
      <c r="A67" s="104" t="s">
        <v>479</v>
      </c>
      <c r="B67" s="42"/>
      <c r="C67" s="42"/>
      <c r="D67" s="42"/>
      <c r="E67" s="42"/>
      <c r="F67" s="42"/>
      <c r="G67" s="42"/>
      <c r="H67" s="42"/>
      <c r="I67" s="42"/>
      <c r="O67" s="127"/>
      <c r="Q67" s="65"/>
    </row>
    <row r="68" spans="1:17" s="1" customFormat="1" x14ac:dyDescent="0.2">
      <c r="A68" s="104" t="s">
        <v>480</v>
      </c>
      <c r="B68" s="42"/>
      <c r="C68" s="42"/>
      <c r="D68" s="42">
        <f>DOMICILIAR!D76</f>
        <v>900</v>
      </c>
      <c r="E68" s="42" t="s">
        <v>484</v>
      </c>
      <c r="F68" s="42"/>
      <c r="G68" s="42"/>
      <c r="H68" s="42"/>
      <c r="I68" s="42"/>
      <c r="O68" s="127"/>
      <c r="Q68" s="65"/>
    </row>
    <row r="69" spans="1:17" s="1" customFormat="1" x14ac:dyDescent="0.2">
      <c r="A69" s="104" t="s">
        <v>481</v>
      </c>
      <c r="B69" s="42"/>
      <c r="C69" s="42"/>
      <c r="D69" s="42">
        <v>60</v>
      </c>
      <c r="E69" s="42" t="s">
        <v>485</v>
      </c>
      <c r="F69" s="42"/>
      <c r="G69" s="42"/>
      <c r="H69" s="42"/>
      <c r="I69" s="42"/>
      <c r="O69" s="127"/>
      <c r="Q69" s="65"/>
    </row>
    <row r="70" spans="1:17" s="1" customFormat="1" x14ac:dyDescent="0.2">
      <c r="A70" s="104" t="s">
        <v>482</v>
      </c>
      <c r="B70" s="42"/>
      <c r="C70" s="42"/>
      <c r="D70" s="42">
        <v>30</v>
      </c>
      <c r="E70" s="42" t="s">
        <v>55</v>
      </c>
      <c r="F70" s="42"/>
      <c r="G70" s="42"/>
      <c r="H70" s="42"/>
      <c r="I70" s="42"/>
      <c r="O70" s="127"/>
      <c r="Q70" s="65"/>
    </row>
    <row r="71" spans="1:17" s="1" customFormat="1" x14ac:dyDescent="0.2">
      <c r="A71" s="42" t="s">
        <v>483</v>
      </c>
      <c r="B71" s="42"/>
      <c r="C71" s="42"/>
      <c r="D71" s="42">
        <f>(D68/D70)+D69</f>
        <v>90</v>
      </c>
      <c r="E71" s="42" t="s">
        <v>486</v>
      </c>
      <c r="F71" s="42"/>
      <c r="G71" s="42"/>
      <c r="H71" s="42"/>
      <c r="I71" s="42"/>
      <c r="O71" s="127"/>
      <c r="Q71" s="65"/>
    </row>
    <row r="72" spans="1:17" s="1" customFormat="1" x14ac:dyDescent="0.2">
      <c r="A72" s="42"/>
      <c r="B72" s="42"/>
      <c r="C72" s="42"/>
      <c r="D72" s="42"/>
      <c r="E72" s="42"/>
      <c r="F72" s="42"/>
      <c r="G72" s="42"/>
      <c r="H72" s="42"/>
      <c r="I72" s="42"/>
      <c r="O72" s="127"/>
      <c r="Q72" s="65"/>
    </row>
    <row r="73" spans="1:17" s="1" customFormat="1" x14ac:dyDescent="0.2">
      <c r="A73" s="42" t="s">
        <v>487</v>
      </c>
      <c r="B73" s="42"/>
      <c r="C73" s="42"/>
      <c r="D73" s="42"/>
      <c r="E73" s="42"/>
      <c r="F73" s="42"/>
      <c r="G73" s="42"/>
      <c r="H73" s="42"/>
      <c r="I73" s="42"/>
      <c r="O73" s="127"/>
      <c r="Q73" s="65"/>
    </row>
    <row r="74" spans="1:17" s="1" customFormat="1" x14ac:dyDescent="0.2">
      <c r="A74" s="42" t="s">
        <v>488</v>
      </c>
      <c r="B74" s="42"/>
      <c r="C74" s="42"/>
      <c r="D74" s="42">
        <v>2</v>
      </c>
      <c r="E74" s="42" t="s">
        <v>493</v>
      </c>
      <c r="F74" s="42"/>
      <c r="G74" s="42"/>
      <c r="H74" s="42"/>
      <c r="I74" s="42"/>
      <c r="O74" s="127"/>
      <c r="Q74" s="65"/>
    </row>
    <row r="75" spans="1:17" s="1" customFormat="1" x14ac:dyDescent="0.2">
      <c r="A75" s="42" t="s">
        <v>499</v>
      </c>
      <c r="B75" s="42"/>
      <c r="C75" s="42"/>
      <c r="D75" s="42">
        <v>0</v>
      </c>
      <c r="E75" s="42" t="s">
        <v>493</v>
      </c>
      <c r="F75" s="42"/>
      <c r="G75" s="42"/>
      <c r="H75" s="42"/>
      <c r="I75" s="42"/>
      <c r="O75" s="127"/>
      <c r="Q75" s="65"/>
    </row>
    <row r="76" spans="1:17" s="1" customFormat="1" x14ac:dyDescent="0.2">
      <c r="A76" s="42" t="s">
        <v>495</v>
      </c>
      <c r="B76" s="42"/>
      <c r="C76" s="42"/>
      <c r="D76" s="42">
        <f>D64*D74</f>
        <v>400</v>
      </c>
      <c r="E76" s="42" t="s">
        <v>494</v>
      </c>
      <c r="F76" s="42"/>
      <c r="G76" s="42"/>
      <c r="H76" s="42"/>
      <c r="I76" s="42"/>
      <c r="O76" s="127"/>
      <c r="Q76" s="65"/>
    </row>
    <row r="77" spans="1:17" s="1" customFormat="1" x14ac:dyDescent="0.2">
      <c r="A77" s="42" t="s">
        <v>490</v>
      </c>
      <c r="B77" s="42"/>
      <c r="C77" s="42"/>
      <c r="D77" s="42">
        <f>D75*D65</f>
        <v>0</v>
      </c>
      <c r="E77" s="42" t="s">
        <v>485</v>
      </c>
      <c r="F77" s="42"/>
      <c r="G77" s="42"/>
      <c r="H77" s="42"/>
      <c r="I77" s="42"/>
      <c r="O77" s="127"/>
      <c r="Q77" s="65"/>
    </row>
    <row r="78" spans="1:17" s="1" customFormat="1" x14ac:dyDescent="0.2">
      <c r="A78" s="42" t="s">
        <v>491</v>
      </c>
      <c r="B78" s="42"/>
      <c r="C78" s="42"/>
      <c r="D78" s="42"/>
      <c r="E78" s="42" t="s">
        <v>493</v>
      </c>
      <c r="F78" s="42"/>
      <c r="G78" s="42"/>
      <c r="H78" s="42"/>
      <c r="I78" s="42"/>
      <c r="O78" s="127"/>
      <c r="Q78" s="65"/>
    </row>
    <row r="79" spans="1:17" s="1" customFormat="1" x14ac:dyDescent="0.2">
      <c r="A79" s="42" t="s">
        <v>496</v>
      </c>
      <c r="B79" s="42"/>
      <c r="C79" s="42"/>
      <c r="D79" s="42">
        <f>D71*D78</f>
        <v>0</v>
      </c>
      <c r="E79" s="42" t="s">
        <v>497</v>
      </c>
      <c r="F79" s="42"/>
      <c r="G79" s="42"/>
      <c r="H79" s="42"/>
      <c r="I79" s="42"/>
      <c r="O79" s="127"/>
      <c r="Q79" s="65"/>
    </row>
    <row r="80" spans="1:17" s="1" customFormat="1" x14ac:dyDescent="0.2">
      <c r="A80" s="42"/>
      <c r="B80" s="42"/>
      <c r="C80" s="42"/>
      <c r="D80" s="42"/>
      <c r="E80" s="42"/>
      <c r="F80" s="42"/>
      <c r="G80" s="42"/>
      <c r="H80" s="42"/>
      <c r="I80" s="42"/>
      <c r="O80" s="127"/>
      <c r="Q80" s="65"/>
    </row>
    <row r="81" spans="1:19" s="1" customFormat="1" x14ac:dyDescent="0.2">
      <c r="A81" s="105" t="s">
        <v>492</v>
      </c>
      <c r="B81" s="105"/>
      <c r="C81" s="105"/>
      <c r="D81" s="105">
        <f>D76+D77+D79</f>
        <v>400</v>
      </c>
      <c r="E81" s="105" t="s">
        <v>130</v>
      </c>
      <c r="F81" s="42"/>
      <c r="G81" s="42"/>
      <c r="H81" s="42"/>
      <c r="I81" s="42"/>
      <c r="O81" s="127"/>
      <c r="Q81" s="65"/>
    </row>
    <row r="82" spans="1:19" x14ac:dyDescent="0.2">
      <c r="A82" s="16"/>
      <c r="B82" s="16"/>
      <c r="C82" s="16"/>
      <c r="D82" s="16"/>
      <c r="E82" s="16"/>
      <c r="F82" s="16"/>
      <c r="G82" s="16"/>
      <c r="I82" s="16"/>
    </row>
    <row r="83" spans="1:19" x14ac:dyDescent="0.2">
      <c r="A83" s="16"/>
      <c r="B83" s="16"/>
      <c r="C83" s="16"/>
      <c r="D83" s="16"/>
      <c r="E83" s="16"/>
      <c r="F83" s="16"/>
      <c r="G83" s="16"/>
      <c r="I83" s="16"/>
    </row>
    <row r="84" spans="1:19" x14ac:dyDescent="0.2">
      <c r="A84" s="18" t="s">
        <v>501</v>
      </c>
      <c r="B84" s="18"/>
      <c r="C84" s="18"/>
      <c r="D84" s="18"/>
      <c r="E84" s="18"/>
      <c r="F84" s="16"/>
      <c r="G84" s="16"/>
      <c r="I84" s="16"/>
    </row>
    <row r="85" spans="1:19" x14ac:dyDescent="0.2">
      <c r="A85" s="75"/>
      <c r="B85" s="75"/>
      <c r="C85" s="75"/>
      <c r="D85" s="16"/>
      <c r="E85" s="16"/>
      <c r="F85" s="16"/>
      <c r="G85" s="16"/>
      <c r="I85" s="16"/>
    </row>
    <row r="86" spans="1:19" x14ac:dyDescent="0.2">
      <c r="A86" s="16" t="s">
        <v>68</v>
      </c>
      <c r="B86" s="16"/>
      <c r="C86" s="16"/>
      <c r="D86" s="16">
        <f>+D30</f>
        <v>63047.37559214286</v>
      </c>
      <c r="E86" s="16" t="s">
        <v>37</v>
      </c>
      <c r="F86" s="16"/>
      <c r="G86" s="65">
        <f>D86/$D$91</f>
        <v>0.36922459752226605</v>
      </c>
      <c r="I86" s="16"/>
      <c r="J86" s="59"/>
    </row>
    <row r="87" spans="1:19" x14ac:dyDescent="0.2">
      <c r="A87" s="16" t="s">
        <v>58</v>
      </c>
      <c r="B87" s="16"/>
      <c r="C87" s="16"/>
      <c r="D87" s="16">
        <f>+D46</f>
        <v>106429.3</v>
      </c>
      <c r="E87" s="16" t="s">
        <v>37</v>
      </c>
      <c r="F87" s="16"/>
      <c r="G87" s="65">
        <f t="shared" ref="G87:G89" si="0">D87/$D$91</f>
        <v>0.62328233472058636</v>
      </c>
      <c r="I87" s="16"/>
      <c r="J87" s="59"/>
    </row>
    <row r="88" spans="1:19" x14ac:dyDescent="0.2">
      <c r="A88" s="16" t="s">
        <v>67</v>
      </c>
      <c r="B88" s="16"/>
      <c r="C88" s="16"/>
      <c r="D88" s="91">
        <f>D59</f>
        <v>879.48749999999995</v>
      </c>
      <c r="E88" s="16" t="s">
        <v>37</v>
      </c>
      <c r="F88" s="16"/>
      <c r="G88" s="65">
        <f t="shared" si="0"/>
        <v>5.1505461593524676E-3</v>
      </c>
      <c r="I88" s="16"/>
      <c r="J88" s="59"/>
    </row>
    <row r="89" spans="1:19" x14ac:dyDescent="0.2">
      <c r="A89" s="42" t="s">
        <v>498</v>
      </c>
      <c r="B89" s="16"/>
      <c r="C89" s="16"/>
      <c r="D89" s="91">
        <f>D81</f>
        <v>400</v>
      </c>
      <c r="E89" s="16" t="s">
        <v>37</v>
      </c>
      <c r="F89" s="16"/>
      <c r="G89" s="65">
        <f t="shared" si="0"/>
        <v>2.3425215977952926E-3</v>
      </c>
      <c r="I89" s="16"/>
      <c r="J89" s="59"/>
      <c r="K89" s="59"/>
    </row>
    <row r="90" spans="1:19" x14ac:dyDescent="0.2">
      <c r="A90" s="16"/>
      <c r="B90" s="16"/>
      <c r="C90" s="16"/>
      <c r="D90" s="91"/>
      <c r="E90" s="16"/>
      <c r="F90" s="16"/>
      <c r="G90" s="65">
        <f>G87+G88+G89</f>
        <v>0.63077540247773412</v>
      </c>
      <c r="I90" s="16"/>
    </row>
    <row r="91" spans="1:19" x14ac:dyDescent="0.2">
      <c r="A91" s="31" t="s">
        <v>185</v>
      </c>
      <c r="B91" s="31"/>
      <c r="C91" s="31"/>
      <c r="D91" s="31">
        <f>SUM(D86:D89)</f>
        <v>170756.16309214284</v>
      </c>
      <c r="E91" s="31" t="s">
        <v>130</v>
      </c>
      <c r="F91" s="16"/>
      <c r="G91" s="16"/>
      <c r="I91" s="16"/>
    </row>
    <row r="92" spans="1:19" x14ac:dyDescent="0.2">
      <c r="A92" s="16"/>
      <c r="B92" s="16"/>
      <c r="C92" s="16"/>
      <c r="D92" s="16" t="s">
        <v>8</v>
      </c>
      <c r="E92" s="16"/>
      <c r="F92" s="16"/>
      <c r="G92" s="16"/>
      <c r="I92" s="16"/>
    </row>
    <row r="93" spans="1:19" s="94" customFormat="1" x14ac:dyDescent="0.2">
      <c r="A93" s="105" t="s">
        <v>376</v>
      </c>
      <c r="B93" s="144">
        <f>BDI!C12</f>
        <v>0.29709999999999998</v>
      </c>
      <c r="C93" s="105"/>
      <c r="D93" s="134">
        <f>D95-D91</f>
        <v>50731.656054675637</v>
      </c>
      <c r="E93" s="105" t="s">
        <v>130</v>
      </c>
      <c r="F93" s="16"/>
      <c r="G93" s="16"/>
      <c r="H93" s="134"/>
      <c r="I93" s="105"/>
      <c r="J93" s="38"/>
      <c r="K93" s="65"/>
      <c r="Q93" s="142"/>
      <c r="S93" s="120"/>
    </row>
    <row r="94" spans="1:19" x14ac:dyDescent="0.2">
      <c r="A94" s="16"/>
      <c r="B94" s="16"/>
      <c r="C94" s="16"/>
      <c r="D94" s="16"/>
      <c r="E94" s="16"/>
      <c r="F94" s="16"/>
      <c r="G94" s="16"/>
      <c r="H94" s="123"/>
      <c r="I94" s="124"/>
      <c r="J94" s="16"/>
    </row>
    <row r="95" spans="1:19" x14ac:dyDescent="0.2">
      <c r="A95" s="81" t="s">
        <v>377</v>
      </c>
      <c r="B95" s="84"/>
      <c r="C95" s="84"/>
      <c r="D95" s="31">
        <f>D91*(1+B93)</f>
        <v>221487.81914681848</v>
      </c>
      <c r="E95" s="31" t="s">
        <v>37</v>
      </c>
      <c r="F95" s="16"/>
      <c r="G95" s="16"/>
      <c r="H95" s="122"/>
      <c r="I95" s="121"/>
      <c r="J95" s="16"/>
      <c r="K95" s="83"/>
    </row>
    <row r="96" spans="1:19" ht="12.95" customHeight="1" x14ac:dyDescent="0.2">
      <c r="A96" s="82" t="s">
        <v>378</v>
      </c>
      <c r="B96" s="31"/>
      <c r="C96" s="31"/>
      <c r="D96" s="198">
        <v>1973.32</v>
      </c>
      <c r="E96" s="31" t="s">
        <v>219</v>
      </c>
      <c r="F96" s="16"/>
      <c r="G96" s="16"/>
      <c r="I96" s="16"/>
    </row>
    <row r="97" spans="1:9" ht="14.25" customHeight="1" x14ac:dyDescent="0.2">
      <c r="A97" s="82" t="s">
        <v>299</v>
      </c>
      <c r="B97" s="31"/>
      <c r="C97" s="31"/>
      <c r="D97" s="31">
        <f>ROUND(D95/D96,2)</f>
        <v>112.24</v>
      </c>
      <c r="E97" s="84" t="s">
        <v>563</v>
      </c>
      <c r="F97" s="16"/>
      <c r="G97" s="16"/>
      <c r="H97" s="59"/>
      <c r="I97" s="16"/>
    </row>
    <row r="98" spans="1:9" x14ac:dyDescent="0.2">
      <c r="A98" s="16"/>
      <c r="B98" s="16"/>
      <c r="C98" s="16"/>
      <c r="D98" s="16"/>
      <c r="E98" s="16"/>
      <c r="F98" s="123"/>
      <c r="G98" s="124"/>
      <c r="I98" s="16"/>
    </row>
    <row r="99" spans="1:9" x14ac:dyDescent="0.2">
      <c r="A99" s="88"/>
      <c r="B99" s="88"/>
      <c r="C99" s="88"/>
      <c r="F99" s="122"/>
      <c r="G99" s="121"/>
      <c r="I99" s="16"/>
    </row>
    <row r="100" spans="1:9" x14ac:dyDescent="0.2">
      <c r="F100" s="16"/>
      <c r="G100" s="16"/>
      <c r="I100" s="16"/>
    </row>
    <row r="101" spans="1:9" x14ac:dyDescent="0.2">
      <c r="F101" s="11"/>
      <c r="G101" s="16"/>
      <c r="I101" s="16"/>
    </row>
    <row r="102" spans="1:9" x14ac:dyDescent="0.2">
      <c r="D102" s="16"/>
      <c r="F102" s="16"/>
      <c r="G102" s="16"/>
    </row>
    <row r="103" spans="1:9" x14ac:dyDescent="0.2">
      <c r="G103" s="16"/>
    </row>
    <row r="104" spans="1:9" x14ac:dyDescent="0.2">
      <c r="G104" s="16"/>
    </row>
    <row r="105" spans="1:9" x14ac:dyDescent="0.2">
      <c r="D105" s="89"/>
      <c r="G105" s="16"/>
    </row>
  </sheetData>
  <mergeCells count="4">
    <mergeCell ref="A1:E1"/>
    <mergeCell ref="A2:E2"/>
    <mergeCell ref="A4:B4"/>
    <mergeCell ref="A8:E8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rowBreaks count="1" manualBreakCount="1">
    <brk id="72" max="4" man="1"/>
  </rowBreaks>
  <colBreaks count="1" manualBreakCount="1">
    <brk id="5" max="1048575" man="1"/>
  </colBreak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00"/>
  <sheetViews>
    <sheetView view="pageBreakPreview" topLeftCell="A59" workbookViewId="0">
      <selection activeCell="H24" sqref="H24"/>
    </sheetView>
  </sheetViews>
  <sheetFormatPr defaultColWidth="12" defaultRowHeight="12.75" x14ac:dyDescent="0.2"/>
  <cols>
    <col min="1" max="1" width="50.83203125" style="13" customWidth="1"/>
    <col min="2" max="2" width="10.83203125" style="13" customWidth="1"/>
    <col min="3" max="3" width="7.83203125" style="13" customWidth="1"/>
    <col min="4" max="4" width="14.83203125" style="13" customWidth="1"/>
    <col min="5" max="5" width="10.83203125" style="13" customWidth="1"/>
    <col min="6" max="6" width="16.6640625" style="16" customWidth="1"/>
    <col min="7" max="7" width="6.6640625" style="13" customWidth="1"/>
    <col min="8" max="16384" width="12" style="11"/>
  </cols>
  <sheetData>
    <row r="1" spans="1:7" ht="18.75" hidden="1" x14ac:dyDescent="0.3">
      <c r="A1" s="335" t="s">
        <v>215</v>
      </c>
      <c r="B1" s="335"/>
      <c r="C1" s="335"/>
      <c r="D1" s="335"/>
      <c r="E1" s="335"/>
      <c r="F1" s="10"/>
      <c r="G1" s="11"/>
    </row>
    <row r="2" spans="1:7" ht="18" hidden="1" customHeight="1" x14ac:dyDescent="0.25">
      <c r="A2" s="335"/>
      <c r="B2" s="335"/>
      <c r="C2" s="335"/>
      <c r="D2" s="335"/>
      <c r="E2" s="335"/>
      <c r="F2" s="12"/>
      <c r="G2" s="11"/>
    </row>
    <row r="3" spans="1:7" hidden="1" x14ac:dyDescent="0.2">
      <c r="F3" s="13"/>
      <c r="G3" s="11"/>
    </row>
    <row r="4" spans="1:7" hidden="1" x14ac:dyDescent="0.2">
      <c r="F4" s="13"/>
      <c r="G4" s="11"/>
    </row>
    <row r="5" spans="1:7" hidden="1" x14ac:dyDescent="0.2">
      <c r="A5" s="14" t="s">
        <v>217</v>
      </c>
      <c r="D5" s="14" t="s">
        <v>211</v>
      </c>
      <c r="F5" s="13"/>
      <c r="G5" s="11"/>
    </row>
    <row r="6" spans="1:7" x14ac:dyDescent="0.2">
      <c r="F6" s="13"/>
      <c r="G6" s="11"/>
    </row>
    <row r="7" spans="1:7" x14ac:dyDescent="0.2">
      <c r="A7" s="336" t="s">
        <v>0</v>
      </c>
      <c r="B7" s="336"/>
      <c r="C7" s="336"/>
      <c r="D7" s="336"/>
      <c r="E7" s="336"/>
      <c r="F7" s="68"/>
      <c r="G7" s="11"/>
    </row>
    <row r="8" spans="1:7" x14ac:dyDescent="0.2">
      <c r="A8" s="16"/>
      <c r="B8" s="16"/>
      <c r="C8" s="16"/>
      <c r="D8" s="16"/>
      <c r="E8" s="16"/>
      <c r="G8" s="16"/>
    </row>
    <row r="9" spans="1:7" x14ac:dyDescent="0.2">
      <c r="A9" s="69" t="s">
        <v>632</v>
      </c>
      <c r="B9" s="69"/>
      <c r="C9" s="69"/>
      <c r="D9" s="18"/>
      <c r="E9" s="18"/>
      <c r="F9" s="18"/>
      <c r="G9" s="18"/>
    </row>
    <row r="10" spans="1:7" x14ac:dyDescent="0.2">
      <c r="A10" s="69"/>
      <c r="B10" s="69"/>
      <c r="C10" s="69"/>
      <c r="D10" s="18"/>
      <c r="E10" s="18"/>
      <c r="F10" s="18"/>
      <c r="G10" s="18"/>
    </row>
    <row r="11" spans="1:7" x14ac:dyDescent="0.2">
      <c r="A11" s="69"/>
      <c r="B11" s="69"/>
      <c r="C11" s="69"/>
      <c r="D11" s="18"/>
      <c r="E11" s="18"/>
      <c r="F11" s="18"/>
      <c r="G11" s="18"/>
    </row>
    <row r="12" spans="1:7" x14ac:dyDescent="0.2">
      <c r="A12" s="80" t="s">
        <v>34</v>
      </c>
      <c r="B12" s="78"/>
      <c r="C12" s="78"/>
      <c r="D12" s="16"/>
      <c r="E12" s="16"/>
      <c r="G12" s="16"/>
    </row>
    <row r="13" spans="1:7" x14ac:dyDescent="0.2">
      <c r="A13" s="16"/>
      <c r="B13" s="16"/>
      <c r="C13" s="16"/>
      <c r="D13" s="16"/>
      <c r="E13" s="16"/>
      <c r="G13" s="16"/>
    </row>
    <row r="14" spans="1:7" x14ac:dyDescent="0.2">
      <c r="A14" s="70" t="s">
        <v>88</v>
      </c>
      <c r="B14" s="70"/>
      <c r="C14" s="70"/>
      <c r="D14" s="91">
        <v>4</v>
      </c>
      <c r="E14" s="16" t="s">
        <v>35</v>
      </c>
      <c r="F14" s="16" t="s">
        <v>8</v>
      </c>
      <c r="G14" s="16"/>
    </row>
    <row r="15" spans="1:7" x14ac:dyDescent="0.2">
      <c r="A15" s="70" t="s">
        <v>462</v>
      </c>
      <c r="B15" s="61"/>
      <c r="C15" s="61"/>
      <c r="D15" s="16">
        <f>COLETOR!B32</f>
        <v>4484.9060142857152</v>
      </c>
      <c r="E15" s="61" t="s">
        <v>36</v>
      </c>
      <c r="G15" s="16"/>
    </row>
    <row r="16" spans="1:7" x14ac:dyDescent="0.2">
      <c r="A16" s="61" t="s">
        <v>461</v>
      </c>
      <c r="B16" s="61"/>
      <c r="C16" s="61"/>
      <c r="D16" s="16">
        <f>ROUND((((D14*(D15/220)*1.5)*4*4)),2)</f>
        <v>1957.05</v>
      </c>
      <c r="E16" s="16" t="s">
        <v>37</v>
      </c>
      <c r="G16" s="16"/>
    </row>
    <row r="17" spans="1:7" x14ac:dyDescent="0.2">
      <c r="A17" s="70" t="s">
        <v>47</v>
      </c>
      <c r="B17" s="70"/>
      <c r="C17" s="70"/>
      <c r="D17" s="16">
        <f>(D14*D15)+D16</f>
        <v>19896.67405714286</v>
      </c>
      <c r="E17" s="16" t="s">
        <v>43</v>
      </c>
      <c r="G17" s="16"/>
    </row>
    <row r="18" spans="1:7" x14ac:dyDescent="0.2">
      <c r="A18" s="61"/>
      <c r="B18" s="61"/>
      <c r="C18" s="61"/>
      <c r="D18" s="16"/>
      <c r="E18" s="16"/>
      <c r="G18" s="16"/>
    </row>
    <row r="19" spans="1:7" x14ac:dyDescent="0.2">
      <c r="A19" s="70" t="s">
        <v>342</v>
      </c>
      <c r="B19" s="61"/>
      <c r="C19" s="61"/>
      <c r="D19" s="16"/>
      <c r="E19" s="16" t="s">
        <v>35</v>
      </c>
      <c r="G19" s="16"/>
    </row>
    <row r="20" spans="1:7" x14ac:dyDescent="0.2">
      <c r="A20" s="16" t="s">
        <v>39</v>
      </c>
      <c r="B20" s="16"/>
      <c r="C20" s="16"/>
      <c r="D20" s="16">
        <f>'ENC I'!B32</f>
        <v>9061.6866043333339</v>
      </c>
      <c r="E20" s="16" t="s">
        <v>36</v>
      </c>
      <c r="G20" s="16"/>
    </row>
    <row r="21" spans="1:7" x14ac:dyDescent="0.2">
      <c r="A21" s="70" t="s">
        <v>42</v>
      </c>
      <c r="B21" s="70"/>
      <c r="C21" s="70"/>
      <c r="D21" s="16">
        <f>+D20*D19</f>
        <v>0</v>
      </c>
      <c r="E21" s="16" t="s">
        <v>37</v>
      </c>
      <c r="G21" s="16"/>
    </row>
    <row r="22" spans="1:7" x14ac:dyDescent="0.2">
      <c r="A22" s="16" t="s">
        <v>48</v>
      </c>
      <c r="B22" s="16"/>
      <c r="C22" s="16"/>
      <c r="D22" s="16">
        <f>D21</f>
        <v>0</v>
      </c>
      <c r="E22" s="16" t="s">
        <v>43</v>
      </c>
      <c r="G22" s="16"/>
    </row>
    <row r="23" spans="1:7" x14ac:dyDescent="0.2">
      <c r="A23" s="16"/>
      <c r="B23" s="16"/>
      <c r="C23" s="16"/>
      <c r="D23" s="16"/>
      <c r="E23" s="16"/>
      <c r="G23" s="16"/>
    </row>
    <row r="24" spans="1:7" x14ac:dyDescent="0.2">
      <c r="A24" s="61" t="s">
        <v>49</v>
      </c>
      <c r="B24" s="61"/>
      <c r="C24" s="61"/>
      <c r="D24" s="16">
        <v>2</v>
      </c>
      <c r="E24" s="16" t="s">
        <v>35</v>
      </c>
      <c r="G24" s="16"/>
    </row>
    <row r="25" spans="1:7" x14ac:dyDescent="0.2">
      <c r="A25" s="70" t="s">
        <v>464</v>
      </c>
      <c r="B25" s="61"/>
      <c r="C25" s="61"/>
      <c r="D25" s="16">
        <f>MOTORISTA!B32</f>
        <v>6484.3952558333331</v>
      </c>
      <c r="E25" s="16" t="s">
        <v>36</v>
      </c>
      <c r="G25" s="16"/>
    </row>
    <row r="26" spans="1:7" x14ac:dyDescent="0.2">
      <c r="A26" s="61" t="s">
        <v>461</v>
      </c>
      <c r="B26" s="61"/>
      <c r="C26" s="61"/>
      <c r="D26" s="16">
        <f>ROUND((((D24*(D25/220)*1.5)*4*4)),2)</f>
        <v>1414.78</v>
      </c>
      <c r="E26" s="16" t="s">
        <v>37</v>
      </c>
      <c r="G26" s="16"/>
    </row>
    <row r="27" spans="1:7" x14ac:dyDescent="0.2">
      <c r="A27" s="70" t="s">
        <v>52</v>
      </c>
      <c r="B27" s="70"/>
      <c r="C27" s="70"/>
      <c r="D27" s="16">
        <f>(D24*D25)+D26</f>
        <v>14383.570511666667</v>
      </c>
      <c r="E27" s="16" t="s">
        <v>43</v>
      </c>
      <c r="G27" s="16"/>
    </row>
    <row r="28" spans="1:7" x14ac:dyDescent="0.2">
      <c r="A28" s="16"/>
      <c r="B28" s="16"/>
      <c r="C28" s="16"/>
      <c r="D28" s="16"/>
      <c r="E28" s="16"/>
      <c r="G28" s="16"/>
    </row>
    <row r="29" spans="1:7" x14ac:dyDescent="0.2">
      <c r="A29" s="31" t="s">
        <v>191</v>
      </c>
      <c r="B29" s="31"/>
      <c r="C29" s="31"/>
      <c r="D29" s="31">
        <f>D17+D22+D27</f>
        <v>34280.244568809525</v>
      </c>
      <c r="E29" s="31" t="s">
        <v>130</v>
      </c>
      <c r="G29" s="16"/>
    </row>
    <row r="30" spans="1:7" x14ac:dyDescent="0.2">
      <c r="A30" s="16"/>
      <c r="B30" s="16"/>
      <c r="C30" s="16"/>
      <c r="D30" s="16"/>
      <c r="E30" s="16"/>
      <c r="G30" s="16"/>
    </row>
    <row r="31" spans="1:7" x14ac:dyDescent="0.2">
      <c r="A31" s="87" t="s">
        <v>87</v>
      </c>
      <c r="B31" s="75"/>
      <c r="C31" s="75"/>
      <c r="D31" s="16"/>
      <c r="E31" s="16"/>
      <c r="G31" s="16"/>
    </row>
    <row r="32" spans="1:7" x14ac:dyDescent="0.2">
      <c r="A32" s="16"/>
      <c r="B32" s="16"/>
      <c r="C32" s="16"/>
      <c r="D32" s="16"/>
      <c r="E32" s="16"/>
      <c r="G32" s="16"/>
    </row>
    <row r="33" spans="1:7" x14ac:dyDescent="0.2">
      <c r="A33" s="70" t="s">
        <v>170</v>
      </c>
      <c r="B33" s="70"/>
      <c r="C33" s="70"/>
      <c r="D33" s="16">
        <v>2</v>
      </c>
      <c r="E33" s="16" t="s">
        <v>35</v>
      </c>
      <c r="G33" s="16"/>
    </row>
    <row r="34" spans="1:7" x14ac:dyDescent="0.2">
      <c r="A34" s="16" t="s">
        <v>53</v>
      </c>
      <c r="B34" s="16"/>
      <c r="C34" s="16"/>
      <c r="D34" s="16">
        <f>'BASCULANTE 6'!B62</f>
        <v>10286.729909122527</v>
      </c>
      <c r="E34" s="16" t="s">
        <v>130</v>
      </c>
      <c r="G34" s="16"/>
    </row>
    <row r="35" spans="1:7" x14ac:dyDescent="0.2">
      <c r="A35" s="61" t="s">
        <v>54</v>
      </c>
      <c r="B35" s="61"/>
      <c r="C35" s="61"/>
      <c r="D35" s="16">
        <f>+D34*D33</f>
        <v>20573.459818245054</v>
      </c>
      <c r="E35" s="16" t="s">
        <v>130</v>
      </c>
      <c r="G35" s="16"/>
    </row>
    <row r="36" spans="1:7" x14ac:dyDescent="0.2">
      <c r="A36" s="61"/>
      <c r="B36" s="61"/>
      <c r="C36" s="61"/>
      <c r="D36" s="16"/>
      <c r="E36" s="16"/>
      <c r="G36" s="16"/>
    </row>
    <row r="37" spans="1:7" hidden="1" x14ac:dyDescent="0.2">
      <c r="A37" s="70" t="s">
        <v>311</v>
      </c>
      <c r="B37" s="61"/>
      <c r="C37" s="61"/>
      <c r="D37" s="16"/>
      <c r="E37" s="16" t="s">
        <v>314</v>
      </c>
      <c r="G37" s="16"/>
    </row>
    <row r="38" spans="1:7" hidden="1" x14ac:dyDescent="0.2">
      <c r="A38" s="70" t="s">
        <v>312</v>
      </c>
      <c r="B38" s="61"/>
      <c r="C38" s="61"/>
      <c r="D38" s="16"/>
      <c r="E38" s="16" t="s">
        <v>130</v>
      </c>
      <c r="G38" s="16"/>
    </row>
    <row r="39" spans="1:7" hidden="1" x14ac:dyDescent="0.2">
      <c r="A39" s="70" t="s">
        <v>313</v>
      </c>
      <c r="B39" s="61"/>
      <c r="C39" s="61"/>
      <c r="D39" s="16">
        <f>D37*D38</f>
        <v>0</v>
      </c>
      <c r="E39" s="16" t="s">
        <v>130</v>
      </c>
      <c r="G39" s="16"/>
    </row>
    <row r="40" spans="1:7" hidden="1" x14ac:dyDescent="0.2">
      <c r="A40" s="61"/>
      <c r="B40" s="61"/>
      <c r="C40" s="61"/>
      <c r="D40" s="16"/>
      <c r="E40" s="16"/>
      <c r="G40" s="16"/>
    </row>
    <row r="41" spans="1:7" hidden="1" x14ac:dyDescent="0.2">
      <c r="A41" s="16"/>
      <c r="B41" s="16"/>
      <c r="C41" s="16"/>
      <c r="D41" s="16"/>
      <c r="E41" s="16"/>
      <c r="G41" s="16"/>
    </row>
    <row r="42" spans="1:7" x14ac:dyDescent="0.2">
      <c r="A42" s="31" t="s">
        <v>192</v>
      </c>
      <c r="B42" s="31"/>
      <c r="C42" s="31"/>
      <c r="D42" s="31">
        <f>D35+D39</f>
        <v>20573.459818245054</v>
      </c>
      <c r="E42" s="31" t="s">
        <v>130</v>
      </c>
      <c r="G42" s="16"/>
    </row>
    <row r="43" spans="1:7" x14ac:dyDescent="0.2">
      <c r="A43" s="16"/>
      <c r="B43" s="16"/>
      <c r="C43" s="16"/>
      <c r="D43" s="16"/>
      <c r="E43" s="16"/>
      <c r="G43" s="16"/>
    </row>
    <row r="44" spans="1:7" x14ac:dyDescent="0.2">
      <c r="A44" s="87" t="s">
        <v>502</v>
      </c>
      <c r="B44" s="75"/>
      <c r="C44" s="75"/>
      <c r="D44" s="76"/>
      <c r="E44" s="16"/>
      <c r="G44" s="11"/>
    </row>
    <row r="45" spans="1:7" x14ac:dyDescent="0.2">
      <c r="A45" s="75"/>
      <c r="B45" s="75"/>
      <c r="C45" s="75"/>
      <c r="D45" s="76"/>
      <c r="E45" s="16"/>
      <c r="G45" s="11"/>
    </row>
    <row r="46" spans="1:7" x14ac:dyDescent="0.2">
      <c r="A46" s="22" t="s">
        <v>126</v>
      </c>
      <c r="B46" s="181">
        <v>2</v>
      </c>
      <c r="C46" s="74" t="s">
        <v>113</v>
      </c>
      <c r="D46" s="16">
        <f>B46*Planilha2!U4</f>
        <v>27.230000000000004</v>
      </c>
      <c r="E46" s="16" t="s">
        <v>37</v>
      </c>
      <c r="F46" s="90"/>
      <c r="G46" s="16"/>
    </row>
    <row r="47" spans="1:7" x14ac:dyDescent="0.2">
      <c r="A47" s="16" t="s">
        <v>115</v>
      </c>
      <c r="B47" s="181">
        <v>1</v>
      </c>
      <c r="C47" s="74" t="s">
        <v>113</v>
      </c>
      <c r="D47" s="16">
        <f>B47*Planilha2!U3</f>
        <v>15.466666666666667</v>
      </c>
      <c r="E47" s="16" t="s">
        <v>37</v>
      </c>
      <c r="F47" s="86"/>
      <c r="G47" s="16"/>
    </row>
    <row r="48" spans="1:7" x14ac:dyDescent="0.2">
      <c r="A48" s="16" t="s">
        <v>116</v>
      </c>
      <c r="B48" s="182">
        <f>1*$D$33</f>
        <v>2</v>
      </c>
      <c r="C48" s="74" t="s">
        <v>113</v>
      </c>
      <c r="D48" s="16">
        <f>B48*Planilha2!U6</f>
        <v>67.713333333333324</v>
      </c>
      <c r="E48" s="16" t="s">
        <v>37</v>
      </c>
      <c r="F48" s="86"/>
      <c r="G48" s="16"/>
    </row>
    <row r="49" spans="1:17" x14ac:dyDescent="0.2">
      <c r="A49" s="16" t="s">
        <v>117</v>
      </c>
      <c r="B49" s="181">
        <v>1</v>
      </c>
      <c r="C49" s="74" t="s">
        <v>113</v>
      </c>
      <c r="D49" s="16">
        <f>B49*Planilha2!U5</f>
        <v>43.633333333333333</v>
      </c>
      <c r="E49" s="16" t="s">
        <v>37</v>
      </c>
      <c r="F49" s="86"/>
      <c r="G49" s="16"/>
    </row>
    <row r="50" spans="1:17" x14ac:dyDescent="0.2">
      <c r="A50" s="16" t="s">
        <v>118</v>
      </c>
      <c r="B50" s="181">
        <v>1</v>
      </c>
      <c r="C50" s="74" t="s">
        <v>113</v>
      </c>
      <c r="D50" s="16">
        <f>B50*Planilha2!U7</f>
        <v>25.864999999999998</v>
      </c>
      <c r="E50" s="16" t="s">
        <v>37</v>
      </c>
      <c r="F50" s="86"/>
      <c r="G50" s="16"/>
    </row>
    <row r="51" spans="1:17" x14ac:dyDescent="0.2">
      <c r="A51" s="16" t="s">
        <v>123</v>
      </c>
      <c r="B51" s="182">
        <f>1*$D$33</f>
        <v>2</v>
      </c>
      <c r="C51" s="74" t="s">
        <v>113</v>
      </c>
      <c r="D51" s="16">
        <f>B51*Planilha2!U10</f>
        <v>12.090000000000002</v>
      </c>
      <c r="E51" s="16" t="s">
        <v>37</v>
      </c>
      <c r="F51" s="86"/>
      <c r="G51" s="16"/>
    </row>
    <row r="52" spans="1:17" x14ac:dyDescent="0.2">
      <c r="A52" s="16" t="s">
        <v>104</v>
      </c>
      <c r="B52" s="182">
        <f>1*$D$33</f>
        <v>2</v>
      </c>
      <c r="C52" s="74" t="s">
        <v>113</v>
      </c>
      <c r="D52" s="16">
        <f>B52*Planilha2!U12</f>
        <v>8.4704166666666669</v>
      </c>
      <c r="E52" s="16" t="s">
        <v>37</v>
      </c>
      <c r="F52" s="86"/>
      <c r="G52" s="16"/>
    </row>
    <row r="53" spans="1:17" x14ac:dyDescent="0.2">
      <c r="A53" s="42" t="s">
        <v>472</v>
      </c>
      <c r="B53" s="179">
        <f>(D14+D24)*2*26</f>
        <v>312</v>
      </c>
      <c r="C53" s="107" t="s">
        <v>473</v>
      </c>
      <c r="D53" s="42">
        <f>B53*Planilha2!R27</f>
        <v>199.68</v>
      </c>
      <c r="E53" s="42" t="s">
        <v>43</v>
      </c>
      <c r="G53" s="16"/>
    </row>
    <row r="54" spans="1:17" x14ac:dyDescent="0.2">
      <c r="A54" s="16"/>
      <c r="B54" s="16"/>
      <c r="C54" s="16"/>
      <c r="D54" s="16"/>
      <c r="E54" s="16"/>
      <c r="G54" s="16"/>
    </row>
    <row r="55" spans="1:17" x14ac:dyDescent="0.2">
      <c r="A55" s="31" t="s">
        <v>192</v>
      </c>
      <c r="B55" s="31"/>
      <c r="C55" s="31"/>
      <c r="D55" s="31">
        <f>SUM(D46:D53)</f>
        <v>400.14875000000001</v>
      </c>
      <c r="E55" s="31" t="s">
        <v>130</v>
      </c>
      <c r="G55" s="16"/>
    </row>
    <row r="56" spans="1:17" x14ac:dyDescent="0.2">
      <c r="A56" s="16"/>
      <c r="B56" s="16"/>
      <c r="C56" s="16"/>
      <c r="D56" s="16"/>
      <c r="E56" s="16"/>
      <c r="G56" s="16"/>
    </row>
    <row r="57" spans="1:17" s="1" customFormat="1" x14ac:dyDescent="0.2">
      <c r="A57" s="109" t="s">
        <v>470</v>
      </c>
      <c r="B57" s="42"/>
      <c r="C57" s="42"/>
      <c r="D57" s="42"/>
      <c r="E57" s="42"/>
      <c r="F57" s="42"/>
      <c r="G57" s="42"/>
      <c r="H57" s="42"/>
      <c r="I57" s="42"/>
      <c r="O57" s="127"/>
      <c r="Q57" s="65"/>
    </row>
    <row r="58" spans="1:17" s="1" customFormat="1" x14ac:dyDescent="0.2">
      <c r="A58" s="109"/>
      <c r="B58" s="42"/>
      <c r="C58" s="42"/>
      <c r="D58" s="42"/>
      <c r="E58" s="42"/>
      <c r="F58" s="42"/>
      <c r="G58" s="42"/>
      <c r="H58" s="42"/>
      <c r="I58" s="42"/>
      <c r="O58" s="127"/>
      <c r="Q58" s="65"/>
    </row>
    <row r="59" spans="1:17" s="1" customFormat="1" x14ac:dyDescent="0.2">
      <c r="A59" s="104" t="s">
        <v>478</v>
      </c>
      <c r="B59" s="42"/>
      <c r="C59" s="42"/>
      <c r="D59" s="42"/>
      <c r="E59" s="42"/>
      <c r="F59" s="42"/>
      <c r="G59" s="42"/>
      <c r="H59" s="42"/>
      <c r="I59" s="42"/>
      <c r="O59" s="127"/>
      <c r="Q59" s="65"/>
    </row>
    <row r="60" spans="1:17" s="1" customFormat="1" x14ac:dyDescent="0.2">
      <c r="A60" s="104" t="s">
        <v>476</v>
      </c>
      <c r="B60" s="42"/>
      <c r="C60" s="42"/>
      <c r="D60" s="42">
        <f>DOMICILIAR!D72</f>
        <v>200</v>
      </c>
      <c r="E60" s="42" t="s">
        <v>475</v>
      </c>
      <c r="F60" s="42"/>
      <c r="G60" s="42"/>
      <c r="H60" s="42"/>
      <c r="I60" s="42"/>
      <c r="O60" s="127"/>
      <c r="Q60" s="65"/>
    </row>
    <row r="61" spans="1:17" s="1" customFormat="1" x14ac:dyDescent="0.2">
      <c r="A61" s="104" t="s">
        <v>477</v>
      </c>
      <c r="B61" s="42"/>
      <c r="C61" s="42"/>
      <c r="D61" s="42">
        <f>DOMICILIAR!D73</f>
        <v>200</v>
      </c>
      <c r="E61" s="42" t="s">
        <v>485</v>
      </c>
      <c r="F61" s="42"/>
      <c r="G61" s="42"/>
      <c r="H61" s="42"/>
      <c r="I61" s="42"/>
      <c r="O61" s="127"/>
      <c r="Q61" s="65"/>
    </row>
    <row r="62" spans="1:17" s="1" customFormat="1" x14ac:dyDescent="0.2">
      <c r="A62" s="104"/>
      <c r="B62" s="42"/>
      <c r="C62" s="42"/>
      <c r="D62" s="42"/>
      <c r="E62" s="42"/>
      <c r="F62" s="42"/>
      <c r="G62" s="42"/>
      <c r="H62" s="42"/>
      <c r="I62" s="42"/>
      <c r="O62" s="127"/>
      <c r="Q62" s="65"/>
    </row>
    <row r="63" spans="1:17" s="1" customFormat="1" x14ac:dyDescent="0.2">
      <c r="A63" s="104" t="s">
        <v>479</v>
      </c>
      <c r="B63" s="42"/>
      <c r="C63" s="42"/>
      <c r="D63" s="42"/>
      <c r="E63" s="42"/>
      <c r="F63" s="42"/>
      <c r="G63" s="42"/>
      <c r="H63" s="42"/>
      <c r="I63" s="42"/>
      <c r="O63" s="127"/>
      <c r="Q63" s="65"/>
    </row>
    <row r="64" spans="1:17" s="1" customFormat="1" x14ac:dyDescent="0.2">
      <c r="A64" s="104" t="s">
        <v>480</v>
      </c>
      <c r="B64" s="42"/>
      <c r="C64" s="42"/>
      <c r="D64" s="42">
        <f>DOMICILIAR!D76</f>
        <v>900</v>
      </c>
      <c r="E64" s="42" t="s">
        <v>484</v>
      </c>
      <c r="F64" s="42"/>
      <c r="G64" s="42"/>
      <c r="H64" s="42"/>
      <c r="I64" s="42"/>
      <c r="O64" s="127"/>
      <c r="Q64" s="65"/>
    </row>
    <row r="65" spans="1:17" s="1" customFormat="1" x14ac:dyDescent="0.2">
      <c r="A65" s="104" t="s">
        <v>481</v>
      </c>
      <c r="B65" s="42"/>
      <c r="C65" s="42"/>
      <c r="D65" s="42">
        <v>60</v>
      </c>
      <c r="E65" s="42" t="s">
        <v>485</v>
      </c>
      <c r="F65" s="42"/>
      <c r="G65" s="42"/>
      <c r="H65" s="42"/>
      <c r="I65" s="42"/>
      <c r="O65" s="127"/>
      <c r="Q65" s="65"/>
    </row>
    <row r="66" spans="1:17" s="1" customFormat="1" x14ac:dyDescent="0.2">
      <c r="A66" s="104" t="s">
        <v>482</v>
      </c>
      <c r="B66" s="42"/>
      <c r="C66" s="42"/>
      <c r="D66" s="42">
        <v>30</v>
      </c>
      <c r="E66" s="42" t="s">
        <v>55</v>
      </c>
      <c r="F66" s="42"/>
      <c r="G66" s="42"/>
      <c r="H66" s="42"/>
      <c r="I66" s="42"/>
      <c r="O66" s="127"/>
      <c r="Q66" s="65"/>
    </row>
    <row r="67" spans="1:17" s="1" customFormat="1" x14ac:dyDescent="0.2">
      <c r="A67" s="42" t="s">
        <v>483</v>
      </c>
      <c r="B67" s="42"/>
      <c r="C67" s="42"/>
      <c r="D67" s="42">
        <f>(D64/D66)+D65</f>
        <v>90</v>
      </c>
      <c r="E67" s="42" t="s">
        <v>486</v>
      </c>
      <c r="F67" s="42"/>
      <c r="G67" s="42"/>
      <c r="H67" s="42"/>
      <c r="I67" s="42"/>
      <c r="O67" s="127"/>
      <c r="Q67" s="65"/>
    </row>
    <row r="68" spans="1:17" s="1" customFormat="1" x14ac:dyDescent="0.2">
      <c r="A68" s="42"/>
      <c r="B68" s="42"/>
      <c r="C68" s="42"/>
      <c r="D68" s="42"/>
      <c r="E68" s="42"/>
      <c r="F68" s="42"/>
      <c r="G68" s="42"/>
      <c r="H68" s="42"/>
      <c r="I68" s="42"/>
      <c r="O68" s="127"/>
      <c r="Q68" s="65"/>
    </row>
    <row r="69" spans="1:17" s="1" customFormat="1" x14ac:dyDescent="0.2">
      <c r="A69" s="42" t="s">
        <v>487</v>
      </c>
      <c r="B69" s="42"/>
      <c r="C69" s="42"/>
      <c r="D69" s="42"/>
      <c r="E69" s="42"/>
      <c r="F69" s="42"/>
      <c r="G69" s="42"/>
      <c r="H69" s="42"/>
      <c r="I69" s="42"/>
      <c r="O69" s="127"/>
      <c r="Q69" s="65"/>
    </row>
    <row r="70" spans="1:17" s="1" customFormat="1" x14ac:dyDescent="0.2">
      <c r="A70" s="42" t="s">
        <v>488</v>
      </c>
      <c r="B70" s="42"/>
      <c r="C70" s="42"/>
      <c r="D70" s="42">
        <f>D33+D37</f>
        <v>2</v>
      </c>
      <c r="E70" s="42" t="s">
        <v>493</v>
      </c>
      <c r="F70" s="42"/>
      <c r="G70" s="42"/>
      <c r="H70" s="42"/>
      <c r="I70" s="42"/>
      <c r="O70" s="127"/>
      <c r="Q70" s="65"/>
    </row>
    <row r="71" spans="1:17" s="1" customFormat="1" x14ac:dyDescent="0.2">
      <c r="A71" s="42" t="s">
        <v>499</v>
      </c>
      <c r="B71" s="42"/>
      <c r="C71" s="42"/>
      <c r="D71" s="42">
        <v>0</v>
      </c>
      <c r="E71" s="42" t="s">
        <v>493</v>
      </c>
      <c r="F71" s="42"/>
      <c r="G71" s="42"/>
      <c r="H71" s="42"/>
      <c r="I71" s="42"/>
      <c r="O71" s="127"/>
      <c r="Q71" s="65"/>
    </row>
    <row r="72" spans="1:17" s="1" customFormat="1" x14ac:dyDescent="0.2">
      <c r="A72" s="42" t="s">
        <v>495</v>
      </c>
      <c r="B72" s="42"/>
      <c r="C72" s="42"/>
      <c r="D72" s="42">
        <f>D60*D70</f>
        <v>400</v>
      </c>
      <c r="E72" s="42" t="s">
        <v>494</v>
      </c>
      <c r="F72" s="42"/>
      <c r="G72" s="42"/>
      <c r="H72" s="42"/>
      <c r="I72" s="42"/>
      <c r="O72" s="127"/>
      <c r="Q72" s="65"/>
    </row>
    <row r="73" spans="1:17" s="1" customFormat="1" x14ac:dyDescent="0.2">
      <c r="A73" s="42" t="s">
        <v>490</v>
      </c>
      <c r="B73" s="42"/>
      <c r="C73" s="42"/>
      <c r="D73" s="42">
        <f>D71*D61</f>
        <v>0</v>
      </c>
      <c r="E73" s="42" t="s">
        <v>485</v>
      </c>
      <c r="F73" s="42"/>
      <c r="G73" s="42"/>
      <c r="H73" s="42"/>
      <c r="I73" s="42"/>
      <c r="O73" s="127"/>
      <c r="Q73" s="65"/>
    </row>
    <row r="74" spans="1:17" s="1" customFormat="1" x14ac:dyDescent="0.2">
      <c r="A74" s="42" t="s">
        <v>491</v>
      </c>
      <c r="B74" s="42"/>
      <c r="C74" s="42"/>
      <c r="D74" s="42"/>
      <c r="E74" s="42" t="s">
        <v>493</v>
      </c>
      <c r="F74" s="42"/>
      <c r="G74" s="42"/>
      <c r="H74" s="42"/>
      <c r="I74" s="42"/>
      <c r="O74" s="127"/>
      <c r="Q74" s="65"/>
    </row>
    <row r="75" spans="1:17" s="1" customFormat="1" x14ac:dyDescent="0.2">
      <c r="A75" s="42" t="s">
        <v>496</v>
      </c>
      <c r="B75" s="42"/>
      <c r="C75" s="42"/>
      <c r="D75" s="42">
        <f>D67*D74</f>
        <v>0</v>
      </c>
      <c r="E75" s="42" t="s">
        <v>497</v>
      </c>
      <c r="F75" s="42"/>
      <c r="G75" s="42"/>
      <c r="H75" s="42"/>
      <c r="I75" s="42"/>
      <c r="O75" s="127"/>
      <c r="Q75" s="65"/>
    </row>
    <row r="76" spans="1:17" s="1" customFormat="1" x14ac:dyDescent="0.2">
      <c r="A76" s="42"/>
      <c r="B76" s="42"/>
      <c r="C76" s="42"/>
      <c r="D76" s="42"/>
      <c r="E76" s="42"/>
      <c r="F76" s="42"/>
      <c r="G76" s="42"/>
      <c r="H76" s="42"/>
      <c r="I76" s="42"/>
      <c r="O76" s="127"/>
      <c r="Q76" s="65"/>
    </row>
    <row r="77" spans="1:17" s="1" customFormat="1" x14ac:dyDescent="0.2">
      <c r="A77" s="105" t="s">
        <v>492</v>
      </c>
      <c r="B77" s="105"/>
      <c r="C77" s="105"/>
      <c r="D77" s="105">
        <f>D72+D73+D75</f>
        <v>400</v>
      </c>
      <c r="E77" s="105" t="s">
        <v>130</v>
      </c>
      <c r="F77" s="42"/>
      <c r="G77" s="42"/>
      <c r="H77" s="42"/>
      <c r="I77" s="42"/>
      <c r="O77" s="127"/>
      <c r="Q77" s="65"/>
    </row>
    <row r="78" spans="1:17" x14ac:dyDescent="0.2">
      <c r="A78" s="16"/>
      <c r="B78" s="16"/>
      <c r="C78" s="16"/>
      <c r="D78" s="16"/>
      <c r="E78" s="16"/>
      <c r="G78" s="16"/>
    </row>
    <row r="79" spans="1:17" x14ac:dyDescent="0.2">
      <c r="A79" s="87" t="s">
        <v>501</v>
      </c>
      <c r="B79" s="75"/>
      <c r="C79" s="75"/>
      <c r="D79" s="16"/>
      <c r="E79" s="16"/>
      <c r="G79" s="16"/>
    </row>
    <row r="80" spans="1:17" x14ac:dyDescent="0.2">
      <c r="A80" s="75"/>
      <c r="B80" s="75"/>
      <c r="C80" s="75"/>
      <c r="D80" s="16"/>
      <c r="E80" s="16"/>
      <c r="G80" s="16"/>
    </row>
    <row r="81" spans="1:17" x14ac:dyDescent="0.2">
      <c r="A81" s="16" t="s">
        <v>68</v>
      </c>
      <c r="B81" s="16"/>
      <c r="C81" s="16"/>
      <c r="D81" s="16">
        <f>+D29</f>
        <v>34280.244568809525</v>
      </c>
      <c r="E81" s="16" t="s">
        <v>37</v>
      </c>
      <c r="G81" s="16"/>
      <c r="H81" s="65">
        <f>D81/$D$86</f>
        <v>0.61595455905613816</v>
      </c>
    </row>
    <row r="82" spans="1:17" x14ac:dyDescent="0.2">
      <c r="A82" s="16" t="s">
        <v>58</v>
      </c>
      <c r="B82" s="16"/>
      <c r="C82" s="16"/>
      <c r="D82" s="16">
        <f>+D42</f>
        <v>20573.459818245054</v>
      </c>
      <c r="E82" s="16" t="s">
        <v>37</v>
      </c>
      <c r="G82" s="16"/>
      <c r="H82" s="65">
        <f t="shared" ref="H82:H84" si="0">D82/$D$86</f>
        <v>0.3696682019047331</v>
      </c>
    </row>
    <row r="83" spans="1:17" x14ac:dyDescent="0.2">
      <c r="A83" s="16" t="s">
        <v>67</v>
      </c>
      <c r="B83" s="16"/>
      <c r="C83" s="16"/>
      <c r="D83" s="91">
        <f>D55</f>
        <v>400.14875000000001</v>
      </c>
      <c r="E83" s="16" t="s">
        <v>37</v>
      </c>
      <c r="G83" s="16"/>
      <c r="H83" s="65">
        <f t="shared" si="0"/>
        <v>7.1899559050221315E-3</v>
      </c>
    </row>
    <row r="84" spans="1:17" x14ac:dyDescent="0.2">
      <c r="A84" s="42" t="s">
        <v>498</v>
      </c>
      <c r="B84" s="16"/>
      <c r="C84" s="16"/>
      <c r="D84" s="91">
        <f>D77</f>
        <v>400</v>
      </c>
      <c r="E84" s="16" t="s">
        <v>37</v>
      </c>
      <c r="G84" s="16"/>
      <c r="H84" s="65">
        <f t="shared" si="0"/>
        <v>7.1872831341066356E-3</v>
      </c>
      <c r="I84" s="59"/>
    </row>
    <row r="85" spans="1:17" x14ac:dyDescent="0.2">
      <c r="A85" s="16"/>
      <c r="B85" s="16"/>
      <c r="C85" s="16"/>
      <c r="D85" s="91"/>
      <c r="E85" s="16"/>
      <c r="G85" s="16"/>
      <c r="H85" s="65">
        <f>H82+H83+H84</f>
        <v>0.38404544094386189</v>
      </c>
    </row>
    <row r="86" spans="1:17" x14ac:dyDescent="0.2">
      <c r="A86" s="31" t="s">
        <v>185</v>
      </c>
      <c r="B86" s="31"/>
      <c r="C86" s="31"/>
      <c r="D86" s="31">
        <f>SUM(D81:D84)</f>
        <v>55653.853137054575</v>
      </c>
      <c r="E86" s="31" t="s">
        <v>130</v>
      </c>
      <c r="G86" s="16"/>
      <c r="I86" s="11">
        <f>D86/D91</f>
        <v>320.25465034557817</v>
      </c>
    </row>
    <row r="87" spans="1:17" x14ac:dyDescent="0.2">
      <c r="A87" s="16"/>
      <c r="B87" s="16"/>
      <c r="C87" s="16"/>
      <c r="D87" s="16" t="s">
        <v>8</v>
      </c>
      <c r="E87" s="16"/>
      <c r="G87" s="16"/>
    </row>
    <row r="88" spans="1:17" s="94" customFormat="1" x14ac:dyDescent="0.2">
      <c r="A88" s="105" t="s">
        <v>469</v>
      </c>
      <c r="B88" s="144">
        <f>BDI!C12</f>
        <v>0.29709999999999998</v>
      </c>
      <c r="C88" s="105"/>
      <c r="D88" s="134">
        <f>D90-D86</f>
        <v>16534.759767018906</v>
      </c>
      <c r="E88" s="105" t="s">
        <v>130</v>
      </c>
      <c r="F88" s="16"/>
      <c r="G88" s="105"/>
      <c r="H88" s="38"/>
      <c r="I88" s="65">
        <f>(1+B88)*I86</f>
        <v>415.40230696324943</v>
      </c>
      <c r="O88" s="142"/>
      <c r="Q88" s="120"/>
    </row>
    <row r="89" spans="1:17" x14ac:dyDescent="0.2">
      <c r="A89" s="16"/>
      <c r="B89" s="16"/>
      <c r="C89" s="16"/>
      <c r="D89" s="16"/>
      <c r="E89" s="16"/>
      <c r="G89" s="124"/>
      <c r="H89" s="16"/>
    </row>
    <row r="90" spans="1:17" x14ac:dyDescent="0.2">
      <c r="A90" s="81" t="s">
        <v>468</v>
      </c>
      <c r="B90" s="84"/>
      <c r="C90" s="84"/>
      <c r="D90" s="31">
        <f>D86*(1+B88)</f>
        <v>72188.612904073481</v>
      </c>
      <c r="E90" s="31" t="s">
        <v>37</v>
      </c>
      <c r="G90" s="121"/>
      <c r="H90" s="16"/>
      <c r="I90" s="83"/>
    </row>
    <row r="91" spans="1:17" ht="12.95" customHeight="1" x14ac:dyDescent="0.2">
      <c r="A91" s="82" t="s">
        <v>298</v>
      </c>
      <c r="B91" s="31"/>
      <c r="C91" s="31"/>
      <c r="D91" s="31">
        <v>173.78</v>
      </c>
      <c r="E91" s="31" t="s">
        <v>219</v>
      </c>
      <c r="G91" s="16"/>
    </row>
    <row r="92" spans="1:17" ht="14.25" customHeight="1" x14ac:dyDescent="0.2">
      <c r="A92" s="82" t="s">
        <v>299</v>
      </c>
      <c r="B92" s="31"/>
      <c r="C92" s="31"/>
      <c r="D92" s="31">
        <f>D90/D91</f>
        <v>415.40230696324937</v>
      </c>
      <c r="E92" s="84" t="s">
        <v>563</v>
      </c>
      <c r="F92" s="59"/>
      <c r="G92" s="16"/>
    </row>
    <row r="93" spans="1:17" x14ac:dyDescent="0.2">
      <c r="A93" s="16"/>
      <c r="B93" s="16"/>
      <c r="C93" s="16"/>
      <c r="D93" s="16"/>
      <c r="E93" s="16"/>
      <c r="G93" s="16"/>
    </row>
    <row r="94" spans="1:17" x14ac:dyDescent="0.2">
      <c r="A94" s="88"/>
      <c r="B94" s="88"/>
      <c r="C94" s="88"/>
      <c r="G94" s="16"/>
    </row>
    <row r="95" spans="1:17" x14ac:dyDescent="0.2">
      <c r="G95" s="16"/>
    </row>
    <row r="96" spans="1:17" x14ac:dyDescent="0.2">
      <c r="G96" s="16"/>
    </row>
    <row r="97" spans="4:4" x14ac:dyDescent="0.2">
      <c r="D97" s="16"/>
    </row>
    <row r="100" spans="4:4" x14ac:dyDescent="0.2">
      <c r="D100" s="89"/>
    </row>
  </sheetData>
  <mergeCells count="3">
    <mergeCell ref="A1:E1"/>
    <mergeCell ref="A2:E2"/>
    <mergeCell ref="A7:E7"/>
  </mergeCells>
  <phoneticPr fontId="0" type="noConversion"/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rowBreaks count="1" manualBreakCount="1">
    <brk id="78" max="5" man="1"/>
  </rowBreaks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ECF5-4CE6-4ECD-891F-E675D132C2F2}">
  <dimension ref="A1:Q99"/>
  <sheetViews>
    <sheetView view="pageBreakPreview" topLeftCell="A38" zoomScaleNormal="100" zoomScaleSheetLayoutView="100" workbookViewId="0">
      <selection activeCell="G92" sqref="G92"/>
    </sheetView>
  </sheetViews>
  <sheetFormatPr defaultColWidth="12" defaultRowHeight="12.75" x14ac:dyDescent="0.2"/>
  <cols>
    <col min="1" max="1" width="50.83203125" style="13" customWidth="1"/>
    <col min="2" max="2" width="10.83203125" style="13" customWidth="1"/>
    <col min="3" max="3" width="6" style="13" customWidth="1"/>
    <col min="4" max="4" width="14.83203125" style="13" customWidth="1"/>
    <col min="5" max="5" width="15.83203125" style="13" customWidth="1"/>
    <col min="6" max="6" width="15.33203125" style="13" customWidth="1"/>
    <col min="7" max="7" width="13.83203125" style="13" customWidth="1"/>
    <col min="8" max="16384" width="12" style="11"/>
  </cols>
  <sheetData>
    <row r="1" spans="1:7" hidden="1" x14ac:dyDescent="0.2">
      <c r="A1" s="358" t="s">
        <v>215</v>
      </c>
      <c r="B1" s="358"/>
      <c r="C1" s="358"/>
      <c r="D1" s="358"/>
      <c r="E1" s="358"/>
      <c r="F1" s="12"/>
      <c r="G1" s="11"/>
    </row>
    <row r="2" spans="1:7" ht="18" hidden="1" customHeight="1" x14ac:dyDescent="0.2">
      <c r="A2" s="358"/>
      <c r="B2" s="358"/>
      <c r="C2" s="358"/>
      <c r="D2" s="358"/>
      <c r="E2" s="358"/>
      <c r="F2" s="12"/>
      <c r="G2" s="11"/>
    </row>
    <row r="3" spans="1:7" hidden="1" x14ac:dyDescent="0.2">
      <c r="G3" s="11"/>
    </row>
    <row r="4" spans="1:7" hidden="1" x14ac:dyDescent="0.2">
      <c r="G4" s="11"/>
    </row>
    <row r="5" spans="1:7" hidden="1" x14ac:dyDescent="0.2">
      <c r="A5" s="14" t="s">
        <v>217</v>
      </c>
      <c r="D5" s="14" t="s">
        <v>211</v>
      </c>
      <c r="G5" s="11"/>
    </row>
    <row r="6" spans="1:7" x14ac:dyDescent="0.2">
      <c r="G6" s="11"/>
    </row>
    <row r="7" spans="1:7" x14ac:dyDescent="0.2">
      <c r="A7" s="336" t="s">
        <v>0</v>
      </c>
      <c r="B7" s="336"/>
      <c r="C7" s="336"/>
      <c r="D7" s="336"/>
      <c r="E7" s="336"/>
      <c r="F7" s="68"/>
      <c r="G7" s="11"/>
    </row>
    <row r="8" spans="1:7" x14ac:dyDescent="0.2">
      <c r="A8" s="16"/>
      <c r="B8" s="16"/>
      <c r="C8" s="16"/>
      <c r="D8" s="16"/>
      <c r="E8" s="16"/>
      <c r="F8" s="16"/>
      <c r="G8" s="16"/>
    </row>
    <row r="9" spans="1:7" x14ac:dyDescent="0.2">
      <c r="A9" s="69" t="s">
        <v>692</v>
      </c>
      <c r="B9" s="69"/>
      <c r="C9" s="69"/>
      <c r="D9" s="18"/>
      <c r="E9" s="18"/>
      <c r="F9" s="18"/>
      <c r="G9" s="18"/>
    </row>
    <row r="10" spans="1:7" x14ac:dyDescent="0.2">
      <c r="A10" s="16"/>
      <c r="B10" s="16"/>
      <c r="C10" s="16"/>
      <c r="D10" s="16"/>
      <c r="E10" s="16"/>
      <c r="F10" s="16"/>
      <c r="G10" s="16"/>
    </row>
    <row r="11" spans="1:7" x14ac:dyDescent="0.2">
      <c r="A11" s="80" t="s">
        <v>34</v>
      </c>
      <c r="B11" s="78"/>
      <c r="C11" s="78"/>
      <c r="D11" s="16"/>
      <c r="E11" s="16"/>
      <c r="F11" s="18"/>
      <c r="G11" s="16"/>
    </row>
    <row r="12" spans="1:7" x14ac:dyDescent="0.2">
      <c r="A12" s="16"/>
      <c r="B12" s="16"/>
      <c r="C12" s="16"/>
      <c r="D12" s="16"/>
      <c r="E12" s="16"/>
      <c r="F12" s="16"/>
      <c r="G12" s="16"/>
    </row>
    <row r="13" spans="1:7" x14ac:dyDescent="0.2">
      <c r="A13" s="70" t="s">
        <v>456</v>
      </c>
      <c r="B13" s="70"/>
      <c r="C13" s="70"/>
      <c r="D13" s="16">
        <v>20</v>
      </c>
      <c r="E13" s="16" t="s">
        <v>35</v>
      </c>
      <c r="F13" s="16"/>
      <c r="G13" s="16"/>
    </row>
    <row r="14" spans="1:7" x14ac:dyDescent="0.2">
      <c r="A14" s="70" t="s">
        <v>317</v>
      </c>
      <c r="B14" s="61"/>
      <c r="C14" s="61"/>
      <c r="D14" s="16">
        <f>+COLETOR!B32</f>
        <v>4484.9060142857152</v>
      </c>
      <c r="E14" s="61" t="s">
        <v>36</v>
      </c>
      <c r="F14" s="16"/>
      <c r="G14" s="16"/>
    </row>
    <row r="15" spans="1:7" x14ac:dyDescent="0.2">
      <c r="A15" s="61" t="s">
        <v>461</v>
      </c>
      <c r="B15" s="61"/>
      <c r="C15" s="61"/>
      <c r="D15" s="16">
        <f>ROUND((((D13*(D14/220)*1.5)*4*4)),2)</f>
        <v>9785.25</v>
      </c>
      <c r="E15" s="70" t="s">
        <v>37</v>
      </c>
      <c r="F15" s="16"/>
      <c r="G15" s="11"/>
    </row>
    <row r="16" spans="1:7" x14ac:dyDescent="0.2">
      <c r="A16" s="70" t="s">
        <v>42</v>
      </c>
      <c r="B16" s="70"/>
      <c r="C16" s="70"/>
      <c r="D16" s="16">
        <f>(D13*D14)+D15</f>
        <v>99483.370285714307</v>
      </c>
      <c r="E16" s="16" t="s">
        <v>37</v>
      </c>
      <c r="F16" s="16"/>
      <c r="G16" s="16"/>
    </row>
    <row r="17" spans="1:7" x14ac:dyDescent="0.2">
      <c r="A17" s="70"/>
      <c r="B17" s="70"/>
      <c r="C17" s="70"/>
      <c r="D17" s="16"/>
      <c r="E17" s="16"/>
      <c r="F17" s="16"/>
      <c r="G17" s="16"/>
    </row>
    <row r="18" spans="1:7" x14ac:dyDescent="0.2">
      <c r="A18" s="61" t="s">
        <v>38</v>
      </c>
      <c r="B18" s="61"/>
      <c r="C18" s="61"/>
      <c r="D18" s="16">
        <v>1</v>
      </c>
      <c r="E18" s="16" t="s">
        <v>35</v>
      </c>
      <c r="F18" s="16"/>
      <c r="G18" s="16"/>
    </row>
    <row r="19" spans="1:7" x14ac:dyDescent="0.2">
      <c r="A19" s="16" t="s">
        <v>310</v>
      </c>
      <c r="B19" s="16"/>
      <c r="C19" s="16"/>
      <c r="D19" s="16">
        <f>'ENC I'!B32</f>
        <v>9061.6866043333339</v>
      </c>
      <c r="E19" s="16" t="s">
        <v>36</v>
      </c>
      <c r="F19" s="16"/>
      <c r="G19" s="16"/>
    </row>
    <row r="20" spans="1:7" x14ac:dyDescent="0.2">
      <c r="A20" s="61" t="s">
        <v>461</v>
      </c>
      <c r="B20" s="61"/>
      <c r="C20" s="61"/>
      <c r="D20" s="16">
        <f>ROUND((((D18*(D19/220)*1.5)*4*4)),2)</f>
        <v>988.55</v>
      </c>
      <c r="E20" s="70" t="s">
        <v>37</v>
      </c>
      <c r="F20" s="16"/>
      <c r="G20" s="11"/>
    </row>
    <row r="21" spans="1:7" x14ac:dyDescent="0.2">
      <c r="A21" s="16" t="s">
        <v>48</v>
      </c>
      <c r="B21" s="16"/>
      <c r="C21" s="16"/>
      <c r="D21" s="16">
        <f>(D18*D19)+D20</f>
        <v>10050.236604333333</v>
      </c>
      <c r="E21" s="16" t="s">
        <v>43</v>
      </c>
      <c r="F21" s="16"/>
      <c r="G21" s="16"/>
    </row>
    <row r="22" spans="1:7" x14ac:dyDescent="0.2">
      <c r="A22" s="16"/>
      <c r="B22" s="16"/>
      <c r="C22" s="16"/>
      <c r="D22" s="16"/>
      <c r="E22" s="16"/>
      <c r="F22" s="16"/>
      <c r="G22" s="16"/>
    </row>
    <row r="23" spans="1:7" x14ac:dyDescent="0.2">
      <c r="A23" s="70"/>
      <c r="B23" s="70"/>
      <c r="C23" s="70"/>
      <c r="D23" s="16"/>
      <c r="E23" s="16"/>
      <c r="F23" s="16"/>
      <c r="G23" s="16"/>
    </row>
    <row r="24" spans="1:7" x14ac:dyDescent="0.2">
      <c r="A24" s="93" t="s">
        <v>196</v>
      </c>
      <c r="B24" s="93"/>
      <c r="C24" s="93"/>
      <c r="D24" s="31">
        <f>D16+D21</f>
        <v>109533.60689004764</v>
      </c>
      <c r="E24" s="31" t="s">
        <v>130</v>
      </c>
      <c r="F24" s="16"/>
      <c r="G24" s="16"/>
    </row>
    <row r="25" spans="1:7" x14ac:dyDescent="0.2">
      <c r="A25" s="70"/>
      <c r="B25" s="70"/>
      <c r="C25" s="70"/>
      <c r="D25" s="16"/>
      <c r="E25" s="16"/>
      <c r="F25" s="16"/>
      <c r="G25" s="16"/>
    </row>
    <row r="26" spans="1:7" x14ac:dyDescent="0.2">
      <c r="A26" s="71" t="s">
        <v>519</v>
      </c>
      <c r="B26" s="72"/>
      <c r="C26" s="72"/>
      <c r="D26" s="76"/>
      <c r="E26" s="16"/>
      <c r="F26" s="16"/>
      <c r="G26" s="11"/>
    </row>
    <row r="27" spans="1:7" x14ac:dyDescent="0.2">
      <c r="A27" s="75"/>
      <c r="B27" s="75"/>
      <c r="C27" s="75"/>
      <c r="D27" s="76"/>
      <c r="E27" s="16"/>
      <c r="F27" s="16"/>
      <c r="G27" s="11"/>
    </row>
    <row r="28" spans="1:7" x14ac:dyDescent="0.2">
      <c r="A28" s="22" t="s">
        <v>112</v>
      </c>
      <c r="B28" s="181">
        <v>20</v>
      </c>
      <c r="C28" s="92" t="s">
        <v>113</v>
      </c>
      <c r="D28" s="16">
        <f>B28*Planilha2!U4</f>
        <v>272.30000000000007</v>
      </c>
      <c r="E28" s="16" t="s">
        <v>37</v>
      </c>
      <c r="F28" s="77"/>
      <c r="G28" s="16"/>
    </row>
    <row r="29" spans="1:7" x14ac:dyDescent="0.2">
      <c r="A29" s="16" t="s">
        <v>115</v>
      </c>
      <c r="B29" s="181">
        <v>20</v>
      </c>
      <c r="C29" s="92" t="s">
        <v>113</v>
      </c>
      <c r="D29" s="16">
        <f>B29*Planilha2!U3</f>
        <v>309.33333333333331</v>
      </c>
      <c r="E29" s="16" t="s">
        <v>37</v>
      </c>
      <c r="F29" s="77"/>
      <c r="G29" s="16"/>
    </row>
    <row r="30" spans="1:7" x14ac:dyDescent="0.2">
      <c r="A30" s="16" t="s">
        <v>116</v>
      </c>
      <c r="B30" s="181"/>
      <c r="C30" s="92" t="s">
        <v>113</v>
      </c>
      <c r="D30" s="16"/>
      <c r="E30" s="16" t="s">
        <v>37</v>
      </c>
      <c r="F30" s="73"/>
      <c r="G30" s="16"/>
    </row>
    <row r="31" spans="1:7" x14ac:dyDescent="0.2">
      <c r="A31" s="16" t="s">
        <v>117</v>
      </c>
      <c r="B31" s="181"/>
      <c r="C31" s="92" t="s">
        <v>113</v>
      </c>
      <c r="D31" s="16"/>
      <c r="E31" s="16" t="s">
        <v>37</v>
      </c>
      <c r="F31" s="73"/>
      <c r="G31" s="16"/>
    </row>
    <row r="32" spans="1:7" x14ac:dyDescent="0.2">
      <c r="A32" s="16" t="s">
        <v>118</v>
      </c>
      <c r="B32" s="181"/>
      <c r="C32" s="92" t="s">
        <v>113</v>
      </c>
      <c r="D32" s="16"/>
      <c r="E32" s="16" t="s">
        <v>37</v>
      </c>
      <c r="F32" s="73"/>
      <c r="G32" s="16"/>
    </row>
    <row r="33" spans="1:7" x14ac:dyDescent="0.2">
      <c r="A33" s="16" t="s">
        <v>119</v>
      </c>
      <c r="B33" s="181">
        <v>20</v>
      </c>
      <c r="C33" s="92" t="s">
        <v>113</v>
      </c>
      <c r="D33" s="16">
        <f>B33*Planilha2!U8</f>
        <v>614.38333333333321</v>
      </c>
      <c r="E33" s="16" t="s">
        <v>37</v>
      </c>
      <c r="F33" s="73"/>
      <c r="G33" s="16"/>
    </row>
    <row r="34" spans="1:7" x14ac:dyDescent="0.2">
      <c r="A34" s="16" t="s">
        <v>102</v>
      </c>
      <c r="B34" s="181"/>
      <c r="C34" s="92" t="s">
        <v>113</v>
      </c>
      <c r="D34" s="16"/>
      <c r="E34" s="16" t="s">
        <v>37</v>
      </c>
      <c r="F34" s="73"/>
      <c r="G34" s="16"/>
    </row>
    <row r="35" spans="1:7" x14ac:dyDescent="0.2">
      <c r="A35" s="16" t="s">
        <v>122</v>
      </c>
      <c r="B35" s="181"/>
      <c r="C35" s="92" t="s">
        <v>113</v>
      </c>
      <c r="D35" s="16"/>
      <c r="E35" s="16" t="s">
        <v>37</v>
      </c>
      <c r="F35" s="73"/>
      <c r="G35" s="16"/>
    </row>
    <row r="36" spans="1:7" x14ac:dyDescent="0.2">
      <c r="A36" s="16" t="s">
        <v>121</v>
      </c>
      <c r="B36" s="181"/>
      <c r="C36" s="92" t="s">
        <v>113</v>
      </c>
      <c r="D36" s="16"/>
      <c r="E36" s="16" t="s">
        <v>37</v>
      </c>
      <c r="F36" s="73"/>
      <c r="G36" s="16"/>
    </row>
    <row r="37" spans="1:7" x14ac:dyDescent="0.2">
      <c r="A37" s="16" t="s">
        <v>128</v>
      </c>
      <c r="B37" s="181"/>
      <c r="C37" s="92" t="s">
        <v>113</v>
      </c>
      <c r="D37" s="16"/>
      <c r="E37" s="16" t="s">
        <v>37</v>
      </c>
      <c r="F37" s="16"/>
    </row>
    <row r="38" spans="1:7" x14ac:dyDescent="0.2">
      <c r="A38" s="16" t="s">
        <v>129</v>
      </c>
      <c r="B38" s="182"/>
      <c r="C38" s="86" t="s">
        <v>127</v>
      </c>
      <c r="D38" s="16"/>
      <c r="E38" s="16" t="s">
        <v>37</v>
      </c>
      <c r="F38" s="73"/>
      <c r="G38" s="16"/>
    </row>
    <row r="39" spans="1:7" hidden="1" x14ac:dyDescent="0.2">
      <c r="A39" s="16" t="s">
        <v>289</v>
      </c>
      <c r="B39" s="181"/>
      <c r="C39" s="92" t="s">
        <v>113</v>
      </c>
      <c r="D39" s="16"/>
      <c r="E39" s="16" t="s">
        <v>37</v>
      </c>
      <c r="F39" s="73"/>
      <c r="G39" s="16"/>
    </row>
    <row r="40" spans="1:7" x14ac:dyDescent="0.2">
      <c r="A40" s="16" t="s">
        <v>329</v>
      </c>
      <c r="B40" s="181"/>
      <c r="C40" s="92" t="s">
        <v>113</v>
      </c>
      <c r="D40" s="16"/>
      <c r="E40" s="16" t="s">
        <v>37</v>
      </c>
      <c r="F40" s="16"/>
    </row>
    <row r="41" spans="1:7" x14ac:dyDescent="0.2">
      <c r="A41" s="16" t="s">
        <v>634</v>
      </c>
      <c r="B41" s="181"/>
      <c r="C41" s="92">
        <f>(10*20)*26</f>
        <v>5200</v>
      </c>
      <c r="D41" s="16"/>
      <c r="E41" s="16"/>
      <c r="F41" s="16"/>
    </row>
    <row r="42" spans="1:7" x14ac:dyDescent="0.2">
      <c r="A42" s="42" t="s">
        <v>472</v>
      </c>
      <c r="B42" s="179">
        <f>(D13+D18)*2*26</f>
        <v>1092</v>
      </c>
      <c r="C42" s="107" t="s">
        <v>473</v>
      </c>
      <c r="D42" s="42">
        <f>B42*Planilha2!R27</f>
        <v>698.88</v>
      </c>
      <c r="E42" s="42" t="s">
        <v>43</v>
      </c>
      <c r="F42" s="73"/>
      <c r="G42" s="16"/>
    </row>
    <row r="43" spans="1:7" hidden="1" x14ac:dyDescent="0.2">
      <c r="A43" s="16" t="s">
        <v>72</v>
      </c>
      <c r="B43" s="16"/>
      <c r="C43" s="16"/>
      <c r="D43" s="79"/>
      <c r="E43" s="16"/>
      <c r="F43" s="16"/>
      <c r="G43" s="16"/>
    </row>
    <row r="44" spans="1:7" hidden="1" x14ac:dyDescent="0.2">
      <c r="A44" s="16" t="s">
        <v>57</v>
      </c>
      <c r="B44" s="16"/>
      <c r="C44" s="16"/>
      <c r="D44" s="16" t="e">
        <f>D43*#REF!</f>
        <v>#REF!</v>
      </c>
      <c r="E44" s="16" t="s">
        <v>71</v>
      </c>
      <c r="F44" s="16"/>
      <c r="G44" s="16"/>
    </row>
    <row r="45" spans="1:7" x14ac:dyDescent="0.2">
      <c r="A45" s="70"/>
      <c r="B45" s="70"/>
      <c r="C45" s="70"/>
      <c r="D45" s="16"/>
      <c r="E45" s="16"/>
      <c r="F45" s="16"/>
      <c r="G45" s="16"/>
    </row>
    <row r="46" spans="1:7" x14ac:dyDescent="0.2">
      <c r="A46" s="93" t="s">
        <v>197</v>
      </c>
      <c r="B46" s="93"/>
      <c r="C46" s="93"/>
      <c r="D46" s="31">
        <f>SUM(D28:D42)</f>
        <v>1894.8966666666665</v>
      </c>
      <c r="E46" s="31" t="s">
        <v>130</v>
      </c>
      <c r="F46" s="16"/>
      <c r="G46" s="16"/>
    </row>
    <row r="47" spans="1:7" hidden="1" x14ac:dyDescent="0.2">
      <c r="A47" s="70"/>
      <c r="B47" s="70"/>
      <c r="C47" s="70"/>
      <c r="D47" s="16"/>
      <c r="E47" s="16"/>
      <c r="F47" s="16"/>
      <c r="G47" s="16"/>
    </row>
    <row r="48" spans="1:7" hidden="1" x14ac:dyDescent="0.2">
      <c r="A48" s="71" t="s">
        <v>303</v>
      </c>
      <c r="B48" s="72"/>
      <c r="C48" s="72"/>
      <c r="D48" s="16"/>
      <c r="E48" s="16"/>
      <c r="F48" s="16"/>
      <c r="G48" s="16"/>
    </row>
    <row r="49" spans="1:17" hidden="1" x14ac:dyDescent="0.2">
      <c r="A49" s="16"/>
      <c r="B49" s="16"/>
      <c r="C49" s="16"/>
      <c r="D49" s="16"/>
      <c r="E49" s="16"/>
      <c r="F49" s="16"/>
      <c r="G49" s="16"/>
    </row>
    <row r="50" spans="1:17" hidden="1" x14ac:dyDescent="0.2">
      <c r="A50" s="16" t="s">
        <v>304</v>
      </c>
      <c r="B50" s="16"/>
      <c r="C50" s="16"/>
      <c r="D50" s="16"/>
      <c r="E50" s="16" t="s">
        <v>297</v>
      </c>
      <c r="F50" s="16"/>
      <c r="G50" s="16"/>
    </row>
    <row r="51" spans="1:17" hidden="1" x14ac:dyDescent="0.2">
      <c r="A51" s="16" t="s">
        <v>305</v>
      </c>
      <c r="B51" s="16"/>
      <c r="C51" s="16"/>
      <c r="D51" s="16" t="e">
        <f>#REF!</f>
        <v>#REF!</v>
      </c>
      <c r="E51" s="16" t="s">
        <v>296</v>
      </c>
      <c r="F51" s="16"/>
      <c r="G51" s="16"/>
    </row>
    <row r="52" spans="1:17" hidden="1" x14ac:dyDescent="0.2">
      <c r="A52" s="16" t="s">
        <v>306</v>
      </c>
      <c r="B52" s="16"/>
      <c r="C52" s="16"/>
      <c r="D52" s="16" t="e">
        <f>D50*D51</f>
        <v>#REF!</v>
      </c>
      <c r="E52" s="16" t="s">
        <v>43</v>
      </c>
      <c r="F52" s="16"/>
      <c r="G52" s="16"/>
    </row>
    <row r="53" spans="1:17" hidden="1" x14ac:dyDescent="0.2">
      <c r="A53" s="70"/>
      <c r="B53" s="70"/>
      <c r="C53" s="70"/>
      <c r="D53" s="16"/>
      <c r="E53" s="16"/>
      <c r="F53" s="16"/>
      <c r="G53" s="16"/>
    </row>
    <row r="54" spans="1:17" hidden="1" x14ac:dyDescent="0.2">
      <c r="A54" s="93" t="s">
        <v>291</v>
      </c>
      <c r="B54" s="93"/>
      <c r="C54" s="93"/>
      <c r="D54" s="31" t="e">
        <f>D52</f>
        <v>#REF!</v>
      </c>
      <c r="E54" s="31" t="s">
        <v>130</v>
      </c>
      <c r="F54" s="16"/>
      <c r="G54" s="16"/>
    </row>
    <row r="55" spans="1:17" x14ac:dyDescent="0.2">
      <c r="A55" s="70"/>
      <c r="B55" s="70"/>
      <c r="C55" s="70"/>
      <c r="D55" s="16"/>
      <c r="E55" s="16"/>
      <c r="F55" s="16"/>
      <c r="G55" s="16"/>
    </row>
    <row r="56" spans="1:17" s="1" customFormat="1" hidden="1" x14ac:dyDescent="0.2">
      <c r="A56" s="109" t="s">
        <v>503</v>
      </c>
      <c r="B56" s="42"/>
      <c r="C56" s="42"/>
      <c r="D56" s="42"/>
      <c r="E56" s="42"/>
      <c r="F56" s="42"/>
      <c r="G56" s="42"/>
      <c r="H56" s="42"/>
      <c r="I56" s="42"/>
      <c r="O56" s="127"/>
      <c r="Q56" s="65"/>
    </row>
    <row r="57" spans="1:17" s="1" customFormat="1" hidden="1" x14ac:dyDescent="0.2">
      <c r="A57" s="109"/>
      <c r="B57" s="42"/>
      <c r="C57" s="42"/>
      <c r="D57" s="42"/>
      <c r="E57" s="42"/>
      <c r="F57" s="42"/>
      <c r="G57" s="42"/>
      <c r="H57" s="42"/>
      <c r="I57" s="42"/>
      <c r="O57" s="127"/>
      <c r="Q57" s="65"/>
    </row>
    <row r="58" spans="1:17" s="1" customFormat="1" hidden="1" x14ac:dyDescent="0.2">
      <c r="A58" s="104" t="s">
        <v>504</v>
      </c>
      <c r="B58" s="42"/>
      <c r="C58" s="42"/>
      <c r="D58" s="42"/>
      <c r="E58" s="42"/>
      <c r="F58" s="42"/>
      <c r="G58" s="42"/>
      <c r="H58" s="42"/>
      <c r="I58" s="42"/>
      <c r="O58" s="127"/>
      <c r="Q58" s="65"/>
    </row>
    <row r="59" spans="1:17" s="1" customFormat="1" hidden="1" x14ac:dyDescent="0.2">
      <c r="A59" s="104" t="s">
        <v>505</v>
      </c>
      <c r="B59" s="42"/>
      <c r="C59" s="42"/>
      <c r="D59" s="42">
        <f>63*1.5</f>
        <v>94.5</v>
      </c>
      <c r="E59" s="42" t="s">
        <v>475</v>
      </c>
      <c r="F59" s="42"/>
      <c r="G59" s="42"/>
      <c r="H59" s="42"/>
      <c r="I59" s="42"/>
      <c r="O59" s="127"/>
      <c r="Q59" s="65"/>
    </row>
    <row r="60" spans="1:17" s="1" customFormat="1" hidden="1" x14ac:dyDescent="0.2">
      <c r="A60" s="104" t="s">
        <v>506</v>
      </c>
      <c r="B60" s="42"/>
      <c r="C60" s="42"/>
      <c r="D60" s="42">
        <f>47.25*1.3</f>
        <v>61.425000000000004</v>
      </c>
      <c r="E60" s="42" t="s">
        <v>485</v>
      </c>
      <c r="F60" s="42"/>
      <c r="G60" s="42"/>
      <c r="H60" s="42"/>
      <c r="I60" s="42"/>
      <c r="O60" s="127"/>
      <c r="Q60" s="65"/>
    </row>
    <row r="61" spans="1:17" s="1" customFormat="1" hidden="1" x14ac:dyDescent="0.2">
      <c r="A61" s="104"/>
      <c r="B61" s="42"/>
      <c r="C61" s="42"/>
      <c r="D61" s="42"/>
      <c r="E61" s="42"/>
      <c r="F61" s="42"/>
      <c r="G61" s="42"/>
      <c r="H61" s="42"/>
      <c r="I61" s="42"/>
      <c r="O61" s="127"/>
      <c r="Q61" s="65"/>
    </row>
    <row r="62" spans="1:17" s="1" customFormat="1" hidden="1" x14ac:dyDescent="0.2">
      <c r="A62" s="104" t="s">
        <v>507</v>
      </c>
      <c r="B62" s="42"/>
      <c r="C62" s="42"/>
      <c r="D62" s="42"/>
      <c r="E62" s="42"/>
      <c r="F62" s="42"/>
      <c r="G62" s="42"/>
      <c r="H62" s="42"/>
      <c r="I62" s="42"/>
      <c r="O62" s="127"/>
      <c r="Q62" s="65"/>
    </row>
    <row r="63" spans="1:17" s="1" customFormat="1" hidden="1" x14ac:dyDescent="0.2">
      <c r="A63" s="104" t="s">
        <v>508</v>
      </c>
      <c r="B63" s="42"/>
      <c r="C63" s="42"/>
      <c r="D63" s="42">
        <v>800</v>
      </c>
      <c r="E63" s="42" t="s">
        <v>484</v>
      </c>
      <c r="F63" s="42"/>
      <c r="G63" s="42"/>
      <c r="H63" s="42"/>
      <c r="I63" s="42"/>
      <c r="O63" s="127"/>
      <c r="Q63" s="65"/>
    </row>
    <row r="64" spans="1:17" s="1" customFormat="1" hidden="1" x14ac:dyDescent="0.2">
      <c r="A64" s="104" t="s">
        <v>509</v>
      </c>
      <c r="B64" s="42"/>
      <c r="C64" s="42"/>
      <c r="D64" s="42">
        <v>60</v>
      </c>
      <c r="E64" s="42" t="s">
        <v>485</v>
      </c>
      <c r="F64" s="42"/>
      <c r="G64" s="42"/>
      <c r="H64" s="42"/>
      <c r="I64" s="42"/>
      <c r="O64" s="127"/>
      <c r="Q64" s="65"/>
    </row>
    <row r="65" spans="1:17" s="1" customFormat="1" hidden="1" x14ac:dyDescent="0.2">
      <c r="A65" s="104" t="s">
        <v>510</v>
      </c>
      <c r="B65" s="42"/>
      <c r="C65" s="42"/>
      <c r="D65" s="42">
        <v>30</v>
      </c>
      <c r="E65" s="42" t="s">
        <v>55</v>
      </c>
      <c r="F65" s="42"/>
      <c r="G65" s="42"/>
      <c r="H65" s="42"/>
      <c r="I65" s="42"/>
      <c r="O65" s="127"/>
      <c r="Q65" s="65"/>
    </row>
    <row r="66" spans="1:17" s="1" customFormat="1" hidden="1" x14ac:dyDescent="0.2">
      <c r="A66" s="42" t="s">
        <v>511</v>
      </c>
      <c r="B66" s="42"/>
      <c r="C66" s="42"/>
      <c r="D66" s="42">
        <f>(D63/D65)+D64</f>
        <v>86.666666666666671</v>
      </c>
      <c r="E66" s="42" t="s">
        <v>486</v>
      </c>
      <c r="F66" s="42"/>
      <c r="G66" s="42"/>
      <c r="H66" s="42"/>
      <c r="I66" s="42"/>
      <c r="O66" s="127"/>
      <c r="Q66" s="65"/>
    </row>
    <row r="67" spans="1:17" s="1" customFormat="1" hidden="1" x14ac:dyDescent="0.2">
      <c r="A67" s="42"/>
      <c r="B67" s="42"/>
      <c r="C67" s="42"/>
      <c r="D67" s="42"/>
      <c r="E67" s="42"/>
      <c r="F67" s="42"/>
      <c r="G67" s="42"/>
      <c r="H67" s="42"/>
      <c r="I67" s="42"/>
      <c r="O67" s="127"/>
      <c r="Q67" s="65"/>
    </row>
    <row r="68" spans="1:17" s="1" customFormat="1" hidden="1" x14ac:dyDescent="0.2">
      <c r="A68" s="42" t="s">
        <v>512</v>
      </c>
      <c r="B68" s="42"/>
      <c r="C68" s="42"/>
      <c r="D68" s="42"/>
      <c r="E68" s="42"/>
      <c r="F68" s="42"/>
      <c r="G68" s="42"/>
      <c r="H68" s="42"/>
      <c r="I68" s="42"/>
      <c r="O68" s="127"/>
      <c r="Q68" s="65"/>
    </row>
    <row r="69" spans="1:17" s="1" customFormat="1" hidden="1" x14ac:dyDescent="0.2">
      <c r="A69" s="42" t="s">
        <v>513</v>
      </c>
      <c r="B69" s="42"/>
      <c r="C69" s="42"/>
      <c r="D69" s="42">
        <v>0</v>
      </c>
      <c r="E69" s="42" t="s">
        <v>493</v>
      </c>
      <c r="F69" s="42"/>
      <c r="G69" s="42"/>
      <c r="H69" s="42"/>
      <c r="I69" s="42"/>
      <c r="O69" s="127"/>
      <c r="Q69" s="65"/>
    </row>
    <row r="70" spans="1:17" s="1" customFormat="1" hidden="1" x14ac:dyDescent="0.2">
      <c r="A70" s="42" t="s">
        <v>514</v>
      </c>
      <c r="B70" s="42"/>
      <c r="C70" s="42"/>
      <c r="D70" s="42">
        <v>0</v>
      </c>
      <c r="E70" s="42" t="s">
        <v>493</v>
      </c>
      <c r="F70" s="42"/>
      <c r="G70" s="42"/>
      <c r="H70" s="42"/>
      <c r="I70" s="42"/>
      <c r="O70" s="127"/>
      <c r="Q70" s="65"/>
    </row>
    <row r="71" spans="1:17" s="1" customFormat="1" hidden="1" x14ac:dyDescent="0.2">
      <c r="A71" s="42" t="s">
        <v>515</v>
      </c>
      <c r="B71" s="42"/>
      <c r="C71" s="42"/>
      <c r="D71" s="42">
        <f>D59*D69</f>
        <v>0</v>
      </c>
      <c r="E71" s="42" t="s">
        <v>494</v>
      </c>
      <c r="F71" s="42"/>
      <c r="G71" s="42"/>
      <c r="H71" s="42"/>
      <c r="I71" s="42"/>
      <c r="O71" s="127"/>
      <c r="Q71" s="65"/>
    </row>
    <row r="72" spans="1:17" s="1" customFormat="1" hidden="1" x14ac:dyDescent="0.2">
      <c r="A72" s="42" t="s">
        <v>516</v>
      </c>
      <c r="B72" s="42"/>
      <c r="C72" s="42"/>
      <c r="D72" s="42">
        <f>D70*D60</f>
        <v>0</v>
      </c>
      <c r="E72" s="42" t="s">
        <v>485</v>
      </c>
      <c r="F72" s="42"/>
      <c r="G72" s="42"/>
      <c r="H72" s="42"/>
      <c r="I72" s="42"/>
      <c r="O72" s="127"/>
      <c r="Q72" s="65"/>
    </row>
    <row r="73" spans="1:17" s="1" customFormat="1" hidden="1" x14ac:dyDescent="0.2">
      <c r="A73" s="42" t="s">
        <v>517</v>
      </c>
      <c r="B73" s="42"/>
      <c r="C73" s="42"/>
      <c r="D73" s="42"/>
      <c r="E73" s="42" t="s">
        <v>493</v>
      </c>
      <c r="F73" s="42"/>
      <c r="G73" s="42"/>
      <c r="H73" s="42"/>
      <c r="I73" s="42"/>
      <c r="O73" s="127"/>
      <c r="Q73" s="65"/>
    </row>
    <row r="74" spans="1:17" s="1" customFormat="1" hidden="1" x14ac:dyDescent="0.2">
      <c r="A74" s="42" t="s">
        <v>518</v>
      </c>
      <c r="B74" s="42"/>
      <c r="C74" s="42"/>
      <c r="D74" s="42">
        <f>D66*D73</f>
        <v>0</v>
      </c>
      <c r="E74" s="42" t="s">
        <v>497</v>
      </c>
      <c r="F74" s="42"/>
      <c r="G74" s="42"/>
      <c r="H74" s="42"/>
      <c r="I74" s="42"/>
      <c r="O74" s="127"/>
      <c r="Q74" s="65"/>
    </row>
    <row r="75" spans="1:17" hidden="1" x14ac:dyDescent="0.2">
      <c r="A75" s="16"/>
      <c r="B75" s="16"/>
      <c r="C75" s="16"/>
      <c r="D75" s="16"/>
      <c r="E75" s="16"/>
      <c r="F75" s="16"/>
      <c r="G75" s="16"/>
    </row>
    <row r="76" spans="1:17" s="1" customFormat="1" hidden="1" x14ac:dyDescent="0.2">
      <c r="A76" s="105" t="s">
        <v>492</v>
      </c>
      <c r="B76" s="105"/>
      <c r="C76" s="105"/>
      <c r="D76" s="105">
        <f>D71+D72+D74</f>
        <v>0</v>
      </c>
      <c r="E76" s="105" t="s">
        <v>130</v>
      </c>
      <c r="F76" s="42"/>
      <c r="G76" s="42"/>
      <c r="H76" s="42"/>
      <c r="I76" s="42"/>
      <c r="O76" s="127"/>
      <c r="Q76" s="65"/>
    </row>
    <row r="77" spans="1:17" hidden="1" x14ac:dyDescent="0.2">
      <c r="A77" s="70"/>
      <c r="B77" s="70"/>
      <c r="C77" s="70"/>
      <c r="D77" s="16"/>
      <c r="E77" s="16"/>
      <c r="F77" s="16"/>
      <c r="G77" s="16"/>
    </row>
    <row r="78" spans="1:17" x14ac:dyDescent="0.2">
      <c r="A78" s="80" t="s">
        <v>66</v>
      </c>
      <c r="B78" s="78"/>
      <c r="C78" s="78"/>
      <c r="D78" s="16"/>
      <c r="E78" s="16"/>
      <c r="F78" s="16"/>
      <c r="G78" s="16"/>
    </row>
    <row r="79" spans="1:17" x14ac:dyDescent="0.2">
      <c r="A79" s="78"/>
      <c r="B79" s="78"/>
      <c r="C79" s="78"/>
      <c r="D79" s="16"/>
      <c r="E79" s="16"/>
      <c r="F79" s="16"/>
      <c r="G79" s="16"/>
    </row>
    <row r="80" spans="1:17" x14ac:dyDescent="0.2">
      <c r="A80" s="16" t="s">
        <v>68</v>
      </c>
      <c r="B80" s="16"/>
      <c r="C80" s="16"/>
      <c r="D80" s="16">
        <f>D24</f>
        <v>109533.60689004764</v>
      </c>
      <c r="E80" s="16" t="s">
        <v>37</v>
      </c>
      <c r="F80" s="16"/>
      <c r="G80" s="65">
        <f>D80/$D$85</f>
        <v>0.98299453811231097</v>
      </c>
    </row>
    <row r="81" spans="1:17" hidden="1" x14ac:dyDescent="0.2">
      <c r="A81" s="16" t="s">
        <v>58</v>
      </c>
      <c r="B81" s="16"/>
      <c r="C81" s="16"/>
      <c r="D81" s="16"/>
      <c r="E81" s="16" t="s">
        <v>37</v>
      </c>
      <c r="F81" s="16"/>
      <c r="G81" s="65">
        <f t="shared" ref="G81:G83" si="0">D81/$D$85</f>
        <v>0</v>
      </c>
    </row>
    <row r="82" spans="1:17" x14ac:dyDescent="0.2">
      <c r="A82" s="16" t="s">
        <v>520</v>
      </c>
      <c r="B82" s="16"/>
      <c r="C82" s="16"/>
      <c r="D82" s="16">
        <f>D46</f>
        <v>1894.8966666666665</v>
      </c>
      <c r="E82" s="16" t="s">
        <v>37</v>
      </c>
      <c r="F82" s="16"/>
      <c r="G82" s="65">
        <f t="shared" si="0"/>
        <v>1.7005493806940473E-2</v>
      </c>
    </row>
    <row r="83" spans="1:17" x14ac:dyDescent="0.2">
      <c r="A83" s="42" t="s">
        <v>498</v>
      </c>
      <c r="B83" s="16"/>
      <c r="C83" s="16"/>
      <c r="D83" s="91">
        <f>D76</f>
        <v>0</v>
      </c>
      <c r="E83" s="16" t="s">
        <v>37</v>
      </c>
      <c r="F83" s="16"/>
      <c r="G83" s="65">
        <f t="shared" si="0"/>
        <v>0</v>
      </c>
      <c r="H83" s="59"/>
    </row>
    <row r="84" spans="1:17" x14ac:dyDescent="0.2">
      <c r="A84" s="16"/>
      <c r="B84" s="16"/>
      <c r="C84" s="16"/>
      <c r="D84" s="16"/>
      <c r="E84" s="16"/>
      <c r="F84" s="16"/>
      <c r="G84" s="65">
        <f>G81+G82+G83</f>
        <v>1.7005493806940473E-2</v>
      </c>
    </row>
    <row r="85" spans="1:17" x14ac:dyDescent="0.2">
      <c r="A85" s="31" t="s">
        <v>185</v>
      </c>
      <c r="B85" s="31"/>
      <c r="C85" s="31"/>
      <c r="D85" s="31">
        <f>ROUND((SUM(D80:D83)),2)</f>
        <v>111428.5</v>
      </c>
      <c r="E85" s="31" t="s">
        <v>130</v>
      </c>
      <c r="F85" s="16"/>
      <c r="G85" s="16"/>
    </row>
    <row r="86" spans="1:17" x14ac:dyDescent="0.2">
      <c r="A86" s="16"/>
      <c r="B86" s="16"/>
      <c r="C86" s="16"/>
      <c r="D86" s="16" t="s">
        <v>8</v>
      </c>
      <c r="E86" s="16"/>
      <c r="F86" s="16"/>
      <c r="G86" s="16"/>
    </row>
    <row r="87" spans="1:17" s="94" customFormat="1" x14ac:dyDescent="0.2">
      <c r="A87" s="105" t="s">
        <v>376</v>
      </c>
      <c r="B87" s="144">
        <f>BDI!C12</f>
        <v>0.29709999999999998</v>
      </c>
      <c r="C87" s="105"/>
      <c r="D87" s="134">
        <f>D89-D85</f>
        <v>33105.407349999994</v>
      </c>
      <c r="E87" s="105" t="s">
        <v>130</v>
      </c>
      <c r="F87" s="134"/>
      <c r="G87" s="105"/>
      <c r="H87" s="38"/>
      <c r="I87" s="65"/>
      <c r="O87" s="142"/>
      <c r="Q87" s="120"/>
    </row>
    <row r="88" spans="1:17" x14ac:dyDescent="0.2">
      <c r="A88" s="16"/>
      <c r="B88" s="16"/>
      <c r="C88" s="16"/>
      <c r="D88" s="16"/>
      <c r="E88" s="16"/>
      <c r="F88" s="123"/>
      <c r="G88" s="124"/>
      <c r="H88" s="16"/>
    </row>
    <row r="89" spans="1:17" x14ac:dyDescent="0.2">
      <c r="A89" s="81" t="s">
        <v>193</v>
      </c>
      <c r="B89" s="84"/>
      <c r="C89" s="84"/>
      <c r="D89" s="31">
        <f>D85*(1+B87)</f>
        <v>144533.90734999999</v>
      </c>
      <c r="E89" s="31" t="s">
        <v>37</v>
      </c>
      <c r="F89" s="122"/>
      <c r="G89" s="121"/>
      <c r="H89" s="16"/>
      <c r="I89" s="83"/>
      <c r="M89" s="11">
        <f>110*9</f>
        <v>990</v>
      </c>
    </row>
    <row r="90" spans="1:17" x14ac:dyDescent="0.2">
      <c r="A90" s="82" t="s">
        <v>194</v>
      </c>
      <c r="B90" s="31"/>
      <c r="C90" s="31"/>
      <c r="D90" s="31">
        <v>1</v>
      </c>
      <c r="E90" s="31" t="s">
        <v>424</v>
      </c>
      <c r="F90" s="16"/>
      <c r="G90" s="16"/>
    </row>
    <row r="91" spans="1:17" x14ac:dyDescent="0.2">
      <c r="A91" s="82" t="s">
        <v>195</v>
      </c>
      <c r="B91" s="31"/>
      <c r="C91" s="31"/>
      <c r="D91" s="31">
        <f>ROUND(D89/D90,2)</f>
        <v>144533.91</v>
      </c>
      <c r="E91" s="31" t="s">
        <v>425</v>
      </c>
      <c r="F91" s="11"/>
      <c r="G91" s="16"/>
    </row>
    <row r="92" spans="1:17" x14ac:dyDescent="0.2">
      <c r="A92" s="16"/>
      <c r="B92" s="16"/>
      <c r="C92" s="16"/>
      <c r="D92" s="16"/>
      <c r="E92" s="16"/>
      <c r="F92" s="16"/>
      <c r="G92" s="16"/>
    </row>
    <row r="93" spans="1:17" x14ac:dyDescent="0.2">
      <c r="G93" s="16"/>
    </row>
    <row r="94" spans="1:17" x14ac:dyDescent="0.2">
      <c r="G94" s="16"/>
    </row>
    <row r="95" spans="1:17" x14ac:dyDescent="0.2">
      <c r="G95" s="16"/>
    </row>
    <row r="96" spans="1:17" x14ac:dyDescent="0.2">
      <c r="D96" s="16"/>
    </row>
    <row r="99" spans="4:4" x14ac:dyDescent="0.2">
      <c r="D99" s="89"/>
    </row>
  </sheetData>
  <mergeCells count="3">
    <mergeCell ref="A1:E1"/>
    <mergeCell ref="A2:E2"/>
    <mergeCell ref="A7:E7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5E33-A8A1-47E4-83F8-303BF965269D}">
  <dimension ref="A1:Q100"/>
  <sheetViews>
    <sheetView view="pageBreakPreview" topLeftCell="A59" zoomScaleNormal="100" zoomScaleSheetLayoutView="100" workbookViewId="0">
      <selection activeCell="H24" sqref="H24"/>
    </sheetView>
  </sheetViews>
  <sheetFormatPr defaultColWidth="12" defaultRowHeight="12.75" x14ac:dyDescent="0.2"/>
  <cols>
    <col min="1" max="1" width="50.83203125" style="13" customWidth="1"/>
    <col min="2" max="2" width="10.83203125" style="13" customWidth="1"/>
    <col min="3" max="3" width="7.83203125" style="13" customWidth="1"/>
    <col min="4" max="4" width="14.83203125" style="13" customWidth="1"/>
    <col min="5" max="5" width="10.83203125" style="13" customWidth="1"/>
    <col min="6" max="6" width="16.6640625" style="16" customWidth="1"/>
    <col min="7" max="7" width="6.6640625" style="13" customWidth="1"/>
    <col min="8" max="16384" width="12" style="11"/>
  </cols>
  <sheetData>
    <row r="1" spans="1:7" ht="18.75" hidden="1" x14ac:dyDescent="0.3">
      <c r="A1" s="335" t="s">
        <v>215</v>
      </c>
      <c r="B1" s="335"/>
      <c r="C1" s="335"/>
      <c r="D1" s="335"/>
      <c r="E1" s="335"/>
      <c r="F1" s="10"/>
      <c r="G1" s="11"/>
    </row>
    <row r="2" spans="1:7" ht="18" hidden="1" customHeight="1" x14ac:dyDescent="0.25">
      <c r="A2" s="335"/>
      <c r="B2" s="335"/>
      <c r="C2" s="335"/>
      <c r="D2" s="335"/>
      <c r="E2" s="335"/>
      <c r="F2" s="12"/>
      <c r="G2" s="11"/>
    </row>
    <row r="3" spans="1:7" hidden="1" x14ac:dyDescent="0.2">
      <c r="F3" s="13"/>
      <c r="G3" s="11"/>
    </row>
    <row r="4" spans="1:7" hidden="1" x14ac:dyDescent="0.2">
      <c r="F4" s="13"/>
      <c r="G4" s="11"/>
    </row>
    <row r="5" spans="1:7" hidden="1" x14ac:dyDescent="0.2">
      <c r="A5" s="14" t="s">
        <v>217</v>
      </c>
      <c r="D5" s="14" t="s">
        <v>211</v>
      </c>
      <c r="F5" s="13"/>
      <c r="G5" s="11"/>
    </row>
    <row r="6" spans="1:7" x14ac:dyDescent="0.2">
      <c r="F6" s="13"/>
      <c r="G6" s="11"/>
    </row>
    <row r="7" spans="1:7" x14ac:dyDescent="0.2">
      <c r="A7" s="336" t="s">
        <v>0</v>
      </c>
      <c r="B7" s="336"/>
      <c r="C7" s="336"/>
      <c r="D7" s="336"/>
      <c r="E7" s="336"/>
      <c r="F7" s="68"/>
      <c r="G7" s="11"/>
    </row>
    <row r="8" spans="1:7" x14ac:dyDescent="0.2">
      <c r="A8" s="16"/>
      <c r="B8" s="16"/>
      <c r="C8" s="16"/>
      <c r="D8" s="16"/>
      <c r="E8" s="16"/>
      <c r="G8" s="16"/>
    </row>
    <row r="9" spans="1:7" x14ac:dyDescent="0.2">
      <c r="A9" s="69" t="s">
        <v>693</v>
      </c>
      <c r="B9" s="69"/>
      <c r="C9" s="69"/>
      <c r="D9" s="18"/>
      <c r="E9" s="18"/>
      <c r="F9" s="18"/>
      <c r="G9" s="18"/>
    </row>
    <row r="10" spans="1:7" x14ac:dyDescent="0.2">
      <c r="A10" s="69"/>
      <c r="B10" s="69"/>
      <c r="C10" s="69"/>
      <c r="D10" s="18"/>
      <c r="E10" s="18"/>
      <c r="F10" s="18"/>
      <c r="G10" s="18"/>
    </row>
    <row r="11" spans="1:7" x14ac:dyDescent="0.2">
      <c r="A11" s="69"/>
      <c r="B11" s="69"/>
      <c r="C11" s="69"/>
      <c r="D11" s="18"/>
      <c r="E11" s="18"/>
      <c r="F11" s="18"/>
      <c r="G11" s="18"/>
    </row>
    <row r="12" spans="1:7" x14ac:dyDescent="0.2">
      <c r="A12" s="80" t="s">
        <v>34</v>
      </c>
      <c r="B12" s="78"/>
      <c r="C12" s="78"/>
      <c r="D12" s="16"/>
      <c r="E12" s="16"/>
      <c r="G12" s="16"/>
    </row>
    <row r="13" spans="1:7" x14ac:dyDescent="0.2">
      <c r="A13" s="16"/>
      <c r="B13" s="16"/>
      <c r="C13" s="16"/>
      <c r="D13" s="16"/>
      <c r="E13" s="16"/>
      <c r="G13" s="16"/>
    </row>
    <row r="14" spans="1:7" x14ac:dyDescent="0.2">
      <c r="A14" s="70" t="s">
        <v>88</v>
      </c>
      <c r="B14" s="70"/>
      <c r="C14" s="70"/>
      <c r="D14" s="91">
        <v>2</v>
      </c>
      <c r="E14" s="16" t="s">
        <v>35</v>
      </c>
      <c r="F14" s="16" t="s">
        <v>8</v>
      </c>
      <c r="G14" s="16"/>
    </row>
    <row r="15" spans="1:7" x14ac:dyDescent="0.2">
      <c r="A15" s="70" t="s">
        <v>462</v>
      </c>
      <c r="B15" s="61"/>
      <c r="C15" s="61"/>
      <c r="D15" s="16">
        <f>COLETOR!B32</f>
        <v>4484.9060142857152</v>
      </c>
      <c r="E15" s="61" t="s">
        <v>36</v>
      </c>
      <c r="G15" s="16"/>
    </row>
    <row r="16" spans="1:7" x14ac:dyDescent="0.2">
      <c r="A16" s="61" t="s">
        <v>461</v>
      </c>
      <c r="B16" s="61"/>
      <c r="C16" s="61"/>
      <c r="D16" s="16">
        <f>ROUND((((D14*(D15/220)*1.5)*4*4)),2)</f>
        <v>978.52</v>
      </c>
      <c r="E16" s="16" t="s">
        <v>37</v>
      </c>
      <c r="G16" s="16"/>
    </row>
    <row r="17" spans="1:7" x14ac:dyDescent="0.2">
      <c r="A17" s="70" t="s">
        <v>47</v>
      </c>
      <c r="B17" s="70"/>
      <c r="C17" s="70"/>
      <c r="D17" s="16">
        <f>(D14*D15)+D16</f>
        <v>9948.3320285714308</v>
      </c>
      <c r="E17" s="16" t="s">
        <v>43</v>
      </c>
      <c r="G17" s="16"/>
    </row>
    <row r="18" spans="1:7" x14ac:dyDescent="0.2">
      <c r="A18" s="61"/>
      <c r="B18" s="61"/>
      <c r="C18" s="61"/>
      <c r="D18" s="16"/>
      <c r="E18" s="16"/>
      <c r="G18" s="16"/>
    </row>
    <row r="19" spans="1:7" x14ac:dyDescent="0.2">
      <c r="A19" s="70" t="s">
        <v>342</v>
      </c>
      <c r="B19" s="61"/>
      <c r="C19" s="61"/>
      <c r="D19" s="16"/>
      <c r="E19" s="16" t="s">
        <v>35</v>
      </c>
      <c r="G19" s="16"/>
    </row>
    <row r="20" spans="1:7" x14ac:dyDescent="0.2">
      <c r="A20" s="16" t="s">
        <v>39</v>
      </c>
      <c r="B20" s="16"/>
      <c r="C20" s="16"/>
      <c r="D20" s="16">
        <f>'ENC I'!B32</f>
        <v>9061.6866043333339</v>
      </c>
      <c r="E20" s="16" t="s">
        <v>36</v>
      </c>
      <c r="G20" s="16"/>
    </row>
    <row r="21" spans="1:7" x14ac:dyDescent="0.2">
      <c r="A21" s="70" t="s">
        <v>42</v>
      </c>
      <c r="B21" s="70"/>
      <c r="C21" s="70"/>
      <c r="D21" s="16">
        <f>+D20*D19</f>
        <v>0</v>
      </c>
      <c r="E21" s="16" t="s">
        <v>37</v>
      </c>
      <c r="G21" s="16"/>
    </row>
    <row r="22" spans="1:7" x14ac:dyDescent="0.2">
      <c r="A22" s="16" t="s">
        <v>48</v>
      </c>
      <c r="B22" s="16"/>
      <c r="C22" s="16"/>
      <c r="D22" s="16">
        <f>D21</f>
        <v>0</v>
      </c>
      <c r="E22" s="16" t="s">
        <v>43</v>
      </c>
      <c r="G22" s="16"/>
    </row>
    <row r="23" spans="1:7" x14ac:dyDescent="0.2">
      <c r="A23" s="16"/>
      <c r="B23" s="16"/>
      <c r="C23" s="16"/>
      <c r="D23" s="16"/>
      <c r="E23" s="16"/>
      <c r="G23" s="16"/>
    </row>
    <row r="24" spans="1:7" x14ac:dyDescent="0.2">
      <c r="A24" s="61" t="s">
        <v>49</v>
      </c>
      <c r="B24" s="61"/>
      <c r="C24" s="61"/>
      <c r="D24" s="16">
        <v>1</v>
      </c>
      <c r="E24" s="16" t="s">
        <v>35</v>
      </c>
      <c r="G24" s="16"/>
    </row>
    <row r="25" spans="1:7" x14ac:dyDescent="0.2">
      <c r="A25" s="70" t="s">
        <v>464</v>
      </c>
      <c r="B25" s="61"/>
      <c r="C25" s="61"/>
      <c r="D25" s="16">
        <f>MOTORISTA!B32</f>
        <v>6484.3952558333331</v>
      </c>
      <c r="E25" s="16" t="s">
        <v>36</v>
      </c>
      <c r="G25" s="16"/>
    </row>
    <row r="26" spans="1:7" x14ac:dyDescent="0.2">
      <c r="A26" s="61" t="s">
        <v>461</v>
      </c>
      <c r="B26" s="61"/>
      <c r="C26" s="61"/>
      <c r="D26" s="16">
        <f>ROUND((((D24*(D25/220)*1.5)*4*4)),2)</f>
        <v>707.39</v>
      </c>
      <c r="E26" s="16" t="s">
        <v>37</v>
      </c>
      <c r="G26" s="16"/>
    </row>
    <row r="27" spans="1:7" x14ac:dyDescent="0.2">
      <c r="A27" s="70" t="s">
        <v>52</v>
      </c>
      <c r="B27" s="70"/>
      <c r="C27" s="70"/>
      <c r="D27" s="16">
        <f>(D24*D25)+D26</f>
        <v>7191.7852558333334</v>
      </c>
      <c r="E27" s="16" t="s">
        <v>43</v>
      </c>
      <c r="G27" s="16"/>
    </row>
    <row r="28" spans="1:7" x14ac:dyDescent="0.2">
      <c r="A28" s="16"/>
      <c r="B28" s="16"/>
      <c r="C28" s="16"/>
      <c r="D28" s="16"/>
      <c r="E28" s="16"/>
      <c r="G28" s="16"/>
    </row>
    <row r="29" spans="1:7" x14ac:dyDescent="0.2">
      <c r="A29" s="31" t="s">
        <v>191</v>
      </c>
      <c r="B29" s="31"/>
      <c r="C29" s="31"/>
      <c r="D29" s="31">
        <f>D17+D22+D27</f>
        <v>17140.117284404765</v>
      </c>
      <c r="E29" s="31" t="s">
        <v>130</v>
      </c>
      <c r="G29" s="16"/>
    </row>
    <row r="30" spans="1:7" x14ac:dyDescent="0.2">
      <c r="A30" s="16"/>
      <c r="B30" s="16"/>
      <c r="C30" s="16"/>
      <c r="D30" s="16"/>
      <c r="E30" s="16"/>
      <c r="G30" s="16"/>
    </row>
    <row r="31" spans="1:7" x14ac:dyDescent="0.2">
      <c r="A31" s="87" t="s">
        <v>87</v>
      </c>
      <c r="B31" s="75"/>
      <c r="C31" s="75"/>
      <c r="D31" s="16"/>
      <c r="E31" s="16"/>
      <c r="G31" s="16"/>
    </row>
    <row r="32" spans="1:7" x14ac:dyDescent="0.2">
      <c r="A32" s="16"/>
      <c r="B32" s="16"/>
      <c r="C32" s="16"/>
      <c r="D32" s="16"/>
      <c r="E32" s="16"/>
      <c r="G32" s="16"/>
    </row>
    <row r="33" spans="1:7" x14ac:dyDescent="0.2">
      <c r="A33" s="70" t="s">
        <v>170</v>
      </c>
      <c r="B33" s="70"/>
      <c r="C33" s="70"/>
      <c r="D33" s="16">
        <v>1</v>
      </c>
      <c r="E33" s="16" t="s">
        <v>35</v>
      </c>
      <c r="G33" s="16"/>
    </row>
    <row r="34" spans="1:7" x14ac:dyDescent="0.2">
      <c r="A34" s="16" t="s">
        <v>53</v>
      </c>
      <c r="B34" s="16"/>
      <c r="C34" s="16"/>
      <c r="D34" s="16">
        <f>BAÚ!B62</f>
        <v>20822.721621887958</v>
      </c>
      <c r="E34" s="16" t="s">
        <v>130</v>
      </c>
      <c r="G34" s="16"/>
    </row>
    <row r="35" spans="1:7" x14ac:dyDescent="0.2">
      <c r="A35" s="61" t="s">
        <v>54</v>
      </c>
      <c r="B35" s="61"/>
      <c r="C35" s="61"/>
      <c r="D35" s="16">
        <f>+D34*D33</f>
        <v>20822.721621887958</v>
      </c>
      <c r="E35" s="16" t="s">
        <v>130</v>
      </c>
      <c r="G35" s="16"/>
    </row>
    <row r="36" spans="1:7" x14ac:dyDescent="0.2">
      <c r="A36" s="61"/>
      <c r="B36" s="61"/>
      <c r="C36" s="61"/>
      <c r="D36" s="16"/>
      <c r="E36" s="16"/>
      <c r="G36" s="16"/>
    </row>
    <row r="37" spans="1:7" hidden="1" x14ac:dyDescent="0.2">
      <c r="A37" s="70" t="s">
        <v>311</v>
      </c>
      <c r="B37" s="61"/>
      <c r="C37" s="61"/>
      <c r="D37" s="16"/>
      <c r="E37" s="16" t="s">
        <v>314</v>
      </c>
      <c r="G37" s="16"/>
    </row>
    <row r="38" spans="1:7" hidden="1" x14ac:dyDescent="0.2">
      <c r="A38" s="70" t="s">
        <v>312</v>
      </c>
      <c r="B38" s="61"/>
      <c r="C38" s="61"/>
      <c r="D38" s="16"/>
      <c r="E38" s="16" t="s">
        <v>130</v>
      </c>
      <c r="G38" s="16"/>
    </row>
    <row r="39" spans="1:7" hidden="1" x14ac:dyDescent="0.2">
      <c r="A39" s="70" t="s">
        <v>313</v>
      </c>
      <c r="B39" s="61"/>
      <c r="C39" s="61"/>
      <c r="D39" s="16">
        <f>D37*D38</f>
        <v>0</v>
      </c>
      <c r="E39" s="16" t="s">
        <v>130</v>
      </c>
      <c r="G39" s="16"/>
    </row>
    <row r="40" spans="1:7" hidden="1" x14ac:dyDescent="0.2">
      <c r="A40" s="61"/>
      <c r="B40" s="61"/>
      <c r="C40" s="61"/>
      <c r="D40" s="16"/>
      <c r="E40" s="16"/>
      <c r="G40" s="16"/>
    </row>
    <row r="41" spans="1:7" hidden="1" x14ac:dyDescent="0.2">
      <c r="A41" s="16"/>
      <c r="B41" s="16"/>
      <c r="C41" s="16"/>
      <c r="D41" s="16"/>
      <c r="E41" s="16"/>
      <c r="G41" s="16"/>
    </row>
    <row r="42" spans="1:7" x14ac:dyDescent="0.2">
      <c r="A42" s="31" t="s">
        <v>192</v>
      </c>
      <c r="B42" s="31"/>
      <c r="C42" s="31"/>
      <c r="D42" s="31">
        <f>D35+D39</f>
        <v>20822.721621887958</v>
      </c>
      <c r="E42" s="31" t="s">
        <v>130</v>
      </c>
      <c r="G42" s="16"/>
    </row>
    <row r="43" spans="1:7" x14ac:dyDescent="0.2">
      <c r="A43" s="16"/>
      <c r="B43" s="16"/>
      <c r="C43" s="16"/>
      <c r="D43" s="16"/>
      <c r="E43" s="16"/>
      <c r="G43" s="16"/>
    </row>
    <row r="44" spans="1:7" x14ac:dyDescent="0.2">
      <c r="A44" s="87" t="s">
        <v>502</v>
      </c>
      <c r="B44" s="75"/>
      <c r="C44" s="75"/>
      <c r="D44" s="76"/>
      <c r="E44" s="16"/>
      <c r="G44" s="11"/>
    </row>
    <row r="45" spans="1:7" x14ac:dyDescent="0.2">
      <c r="A45" s="75"/>
      <c r="B45" s="75"/>
      <c r="C45" s="75"/>
      <c r="D45" s="76"/>
      <c r="E45" s="16"/>
      <c r="G45" s="11"/>
    </row>
    <row r="46" spans="1:7" x14ac:dyDescent="0.2">
      <c r="A46" s="22" t="s">
        <v>126</v>
      </c>
      <c r="B46" s="181">
        <v>2</v>
      </c>
      <c r="C46" s="74" t="s">
        <v>113</v>
      </c>
      <c r="D46" s="16">
        <f>B46*Planilha2!U4</f>
        <v>27.230000000000004</v>
      </c>
      <c r="E46" s="16" t="s">
        <v>37</v>
      </c>
      <c r="F46" s="90"/>
      <c r="G46" s="16"/>
    </row>
    <row r="47" spans="1:7" x14ac:dyDescent="0.2">
      <c r="A47" s="16" t="s">
        <v>115</v>
      </c>
      <c r="B47" s="181">
        <v>1</v>
      </c>
      <c r="C47" s="74" t="s">
        <v>113</v>
      </c>
      <c r="D47" s="16">
        <f>B47*Planilha2!U3</f>
        <v>15.466666666666667</v>
      </c>
      <c r="E47" s="16" t="s">
        <v>37</v>
      </c>
      <c r="F47" s="86"/>
      <c r="G47" s="16"/>
    </row>
    <row r="48" spans="1:7" x14ac:dyDescent="0.2">
      <c r="A48" s="16" t="s">
        <v>116</v>
      </c>
      <c r="B48" s="182">
        <f>1*$D$33</f>
        <v>1</v>
      </c>
      <c r="C48" s="74" t="s">
        <v>113</v>
      </c>
      <c r="D48" s="16">
        <f>B48*Planilha2!U6</f>
        <v>33.856666666666662</v>
      </c>
      <c r="E48" s="16" t="s">
        <v>37</v>
      </c>
      <c r="F48" s="86"/>
      <c r="G48" s="16"/>
    </row>
    <row r="49" spans="1:17" x14ac:dyDescent="0.2">
      <c r="A49" s="16" t="s">
        <v>117</v>
      </c>
      <c r="B49" s="181">
        <v>1</v>
      </c>
      <c r="C49" s="74" t="s">
        <v>113</v>
      </c>
      <c r="D49" s="16">
        <f>B49*Planilha2!U5</f>
        <v>43.633333333333333</v>
      </c>
      <c r="E49" s="16" t="s">
        <v>37</v>
      </c>
      <c r="F49" s="86"/>
      <c r="G49" s="16"/>
    </row>
    <row r="50" spans="1:17" x14ac:dyDescent="0.2">
      <c r="A50" s="16" t="s">
        <v>118</v>
      </c>
      <c r="B50" s="181">
        <v>1</v>
      </c>
      <c r="C50" s="74" t="s">
        <v>113</v>
      </c>
      <c r="D50" s="16">
        <f>B50*Planilha2!U7</f>
        <v>25.864999999999998</v>
      </c>
      <c r="E50" s="16" t="s">
        <v>37</v>
      </c>
      <c r="F50" s="86"/>
      <c r="G50" s="16"/>
    </row>
    <row r="51" spans="1:17" x14ac:dyDescent="0.2">
      <c r="A51" s="16" t="s">
        <v>123</v>
      </c>
      <c r="B51" s="182">
        <f>1*$D$33</f>
        <v>1</v>
      </c>
      <c r="C51" s="74" t="s">
        <v>113</v>
      </c>
      <c r="D51" s="16">
        <f>B51*Planilha2!U10</f>
        <v>6.0450000000000008</v>
      </c>
      <c r="E51" s="16" t="s">
        <v>37</v>
      </c>
      <c r="F51" s="86"/>
      <c r="G51" s="16"/>
    </row>
    <row r="52" spans="1:17" x14ac:dyDescent="0.2">
      <c r="A52" s="16" t="s">
        <v>104</v>
      </c>
      <c r="B52" s="182">
        <f>1*$D$33</f>
        <v>1</v>
      </c>
      <c r="C52" s="74" t="s">
        <v>113</v>
      </c>
      <c r="D52" s="16">
        <f>B52*Planilha2!U12</f>
        <v>4.2352083333333335</v>
      </c>
      <c r="E52" s="16" t="s">
        <v>37</v>
      </c>
      <c r="F52" s="86"/>
      <c r="G52" s="16"/>
    </row>
    <row r="53" spans="1:17" x14ac:dyDescent="0.2">
      <c r="A53" s="42" t="s">
        <v>472</v>
      </c>
      <c r="B53" s="179">
        <f>(D14+D24)*2*26</f>
        <v>156</v>
      </c>
      <c r="C53" s="107" t="s">
        <v>473</v>
      </c>
      <c r="D53" s="42">
        <f>B53*Planilha2!R27</f>
        <v>99.84</v>
      </c>
      <c r="E53" s="42" t="s">
        <v>43</v>
      </c>
      <c r="G53" s="16"/>
    </row>
    <row r="54" spans="1:17" x14ac:dyDescent="0.2">
      <c r="A54" s="16"/>
      <c r="B54" s="16"/>
      <c r="C54" s="16"/>
      <c r="D54" s="16"/>
      <c r="E54" s="16"/>
      <c r="G54" s="16"/>
    </row>
    <row r="55" spans="1:17" x14ac:dyDescent="0.2">
      <c r="A55" s="31" t="s">
        <v>192</v>
      </c>
      <c r="B55" s="31"/>
      <c r="C55" s="31"/>
      <c r="D55" s="31">
        <f>SUM(D46:D53)</f>
        <v>256.171875</v>
      </c>
      <c r="E55" s="31" t="s">
        <v>130</v>
      </c>
      <c r="G55" s="16"/>
    </row>
    <row r="56" spans="1:17" x14ac:dyDescent="0.2">
      <c r="A56" s="16"/>
      <c r="B56" s="16"/>
      <c r="C56" s="16"/>
      <c r="D56" s="16"/>
      <c r="E56" s="16"/>
      <c r="G56" s="16"/>
    </row>
    <row r="57" spans="1:17" s="1" customFormat="1" x14ac:dyDescent="0.2">
      <c r="A57" s="109" t="s">
        <v>470</v>
      </c>
      <c r="B57" s="42"/>
      <c r="C57" s="42"/>
      <c r="D57" s="42"/>
      <c r="E57" s="42"/>
      <c r="F57" s="42"/>
      <c r="G57" s="42"/>
      <c r="H57" s="42"/>
      <c r="I57" s="42"/>
      <c r="O57" s="127"/>
      <c r="Q57" s="65"/>
    </row>
    <row r="58" spans="1:17" s="1" customFormat="1" x14ac:dyDescent="0.2">
      <c r="A58" s="109"/>
      <c r="B58" s="42"/>
      <c r="C58" s="42"/>
      <c r="D58" s="42"/>
      <c r="E58" s="42"/>
      <c r="F58" s="42"/>
      <c r="G58" s="42"/>
      <c r="H58" s="42"/>
      <c r="I58" s="42"/>
      <c r="O58" s="127"/>
      <c r="Q58" s="65"/>
    </row>
    <row r="59" spans="1:17" s="1" customFormat="1" x14ac:dyDescent="0.2">
      <c r="A59" s="104" t="s">
        <v>478</v>
      </c>
      <c r="B59" s="42"/>
      <c r="C59" s="42"/>
      <c r="D59" s="42"/>
      <c r="E59" s="42"/>
      <c r="F59" s="42"/>
      <c r="G59" s="42"/>
      <c r="H59" s="42"/>
      <c r="I59" s="42"/>
      <c r="O59" s="127"/>
      <c r="Q59" s="65"/>
    </row>
    <row r="60" spans="1:17" s="1" customFormat="1" x14ac:dyDescent="0.2">
      <c r="A60" s="104" t="s">
        <v>476</v>
      </c>
      <c r="B60" s="42"/>
      <c r="C60" s="42"/>
      <c r="D60" s="42">
        <f>DOMICILIAR!D72</f>
        <v>200</v>
      </c>
      <c r="E60" s="42" t="s">
        <v>475</v>
      </c>
      <c r="F60" s="42"/>
      <c r="G60" s="42"/>
      <c r="H60" s="42"/>
      <c r="I60" s="42"/>
      <c r="O60" s="127"/>
      <c r="Q60" s="65"/>
    </row>
    <row r="61" spans="1:17" s="1" customFormat="1" x14ac:dyDescent="0.2">
      <c r="A61" s="104" t="s">
        <v>477</v>
      </c>
      <c r="B61" s="42"/>
      <c r="C61" s="42"/>
      <c r="D61" s="42">
        <f>DOMICILIAR!D73</f>
        <v>200</v>
      </c>
      <c r="E61" s="42" t="s">
        <v>485</v>
      </c>
      <c r="F61" s="42"/>
      <c r="G61" s="42"/>
      <c r="H61" s="42"/>
      <c r="I61" s="42"/>
      <c r="O61" s="127"/>
      <c r="Q61" s="65"/>
    </row>
    <row r="62" spans="1:17" s="1" customFormat="1" x14ac:dyDescent="0.2">
      <c r="A62" s="104"/>
      <c r="B62" s="42"/>
      <c r="C62" s="42"/>
      <c r="D62" s="42"/>
      <c r="E62" s="42"/>
      <c r="F62" s="42"/>
      <c r="G62" s="42"/>
      <c r="H62" s="42"/>
      <c r="I62" s="42"/>
      <c r="O62" s="127"/>
      <c r="Q62" s="65"/>
    </row>
    <row r="63" spans="1:17" s="1" customFormat="1" x14ac:dyDescent="0.2">
      <c r="A63" s="104" t="s">
        <v>479</v>
      </c>
      <c r="B63" s="42"/>
      <c r="C63" s="42"/>
      <c r="D63" s="42"/>
      <c r="E63" s="42"/>
      <c r="F63" s="42"/>
      <c r="G63" s="42"/>
      <c r="H63" s="42"/>
      <c r="I63" s="42"/>
      <c r="O63" s="127"/>
      <c r="Q63" s="65"/>
    </row>
    <row r="64" spans="1:17" s="1" customFormat="1" x14ac:dyDescent="0.2">
      <c r="A64" s="104" t="s">
        <v>480</v>
      </c>
      <c r="B64" s="42"/>
      <c r="C64" s="42"/>
      <c r="D64" s="42">
        <f>DOMICILIAR!D76</f>
        <v>900</v>
      </c>
      <c r="E64" s="42" t="s">
        <v>484</v>
      </c>
      <c r="F64" s="42"/>
      <c r="G64" s="42"/>
      <c r="H64" s="42"/>
      <c r="I64" s="42"/>
      <c r="O64" s="127"/>
      <c r="Q64" s="65"/>
    </row>
    <row r="65" spans="1:17" s="1" customFormat="1" x14ac:dyDescent="0.2">
      <c r="A65" s="104" t="s">
        <v>481</v>
      </c>
      <c r="B65" s="42"/>
      <c r="C65" s="42"/>
      <c r="D65" s="42">
        <v>60</v>
      </c>
      <c r="E65" s="42" t="s">
        <v>485</v>
      </c>
      <c r="F65" s="42"/>
      <c r="G65" s="42"/>
      <c r="H65" s="42"/>
      <c r="I65" s="42"/>
      <c r="O65" s="127"/>
      <c r="Q65" s="65"/>
    </row>
    <row r="66" spans="1:17" s="1" customFormat="1" x14ac:dyDescent="0.2">
      <c r="A66" s="104" t="s">
        <v>482</v>
      </c>
      <c r="B66" s="42"/>
      <c r="C66" s="42"/>
      <c r="D66" s="42">
        <v>30</v>
      </c>
      <c r="E66" s="42" t="s">
        <v>55</v>
      </c>
      <c r="F66" s="42"/>
      <c r="G66" s="42"/>
      <c r="H66" s="42"/>
      <c r="I66" s="42"/>
      <c r="O66" s="127"/>
      <c r="Q66" s="65"/>
    </row>
    <row r="67" spans="1:17" s="1" customFormat="1" x14ac:dyDescent="0.2">
      <c r="A67" s="42" t="s">
        <v>483</v>
      </c>
      <c r="B67" s="42"/>
      <c r="C67" s="42"/>
      <c r="D67" s="42">
        <f>(D64/D66)+D65</f>
        <v>90</v>
      </c>
      <c r="E67" s="42" t="s">
        <v>486</v>
      </c>
      <c r="F67" s="42"/>
      <c r="G67" s="42"/>
      <c r="H67" s="42"/>
      <c r="I67" s="42"/>
      <c r="O67" s="127"/>
      <c r="Q67" s="65"/>
    </row>
    <row r="68" spans="1:17" s="1" customFormat="1" x14ac:dyDescent="0.2">
      <c r="A68" s="42"/>
      <c r="B68" s="42"/>
      <c r="C68" s="42"/>
      <c r="D68" s="42"/>
      <c r="E68" s="42"/>
      <c r="F68" s="42"/>
      <c r="G68" s="42"/>
      <c r="H68" s="42"/>
      <c r="I68" s="42"/>
      <c r="O68" s="127"/>
      <c r="Q68" s="65"/>
    </row>
    <row r="69" spans="1:17" s="1" customFormat="1" x14ac:dyDescent="0.2">
      <c r="A69" s="42" t="s">
        <v>487</v>
      </c>
      <c r="B69" s="42"/>
      <c r="C69" s="42"/>
      <c r="D69" s="42"/>
      <c r="E69" s="42"/>
      <c r="F69" s="42"/>
      <c r="G69" s="42"/>
      <c r="H69" s="42"/>
      <c r="I69" s="42"/>
      <c r="O69" s="127"/>
      <c r="Q69" s="65"/>
    </row>
    <row r="70" spans="1:17" s="1" customFormat="1" x14ac:dyDescent="0.2">
      <c r="A70" s="42" t="s">
        <v>488</v>
      </c>
      <c r="B70" s="42"/>
      <c r="C70" s="42"/>
      <c r="D70" s="42">
        <f>D33+D37</f>
        <v>1</v>
      </c>
      <c r="E70" s="42" t="s">
        <v>493</v>
      </c>
      <c r="F70" s="42"/>
      <c r="G70" s="42"/>
      <c r="H70" s="42"/>
      <c r="I70" s="42"/>
      <c r="O70" s="127"/>
      <c r="Q70" s="65"/>
    </row>
    <row r="71" spans="1:17" s="1" customFormat="1" x14ac:dyDescent="0.2">
      <c r="A71" s="42" t="s">
        <v>499</v>
      </c>
      <c r="B71" s="42"/>
      <c r="C71" s="42"/>
      <c r="D71" s="42">
        <v>0</v>
      </c>
      <c r="E71" s="42" t="s">
        <v>493</v>
      </c>
      <c r="F71" s="42"/>
      <c r="G71" s="42"/>
      <c r="H71" s="42"/>
      <c r="I71" s="42"/>
      <c r="O71" s="127"/>
      <c r="Q71" s="65"/>
    </row>
    <row r="72" spans="1:17" s="1" customFormat="1" x14ac:dyDescent="0.2">
      <c r="A72" s="42" t="s">
        <v>495</v>
      </c>
      <c r="B72" s="42"/>
      <c r="C72" s="42"/>
      <c r="D72" s="42">
        <f>D60*D70</f>
        <v>200</v>
      </c>
      <c r="E72" s="42" t="s">
        <v>494</v>
      </c>
      <c r="F72" s="42"/>
      <c r="G72" s="42"/>
      <c r="H72" s="42"/>
      <c r="I72" s="42"/>
      <c r="O72" s="127"/>
      <c r="Q72" s="65"/>
    </row>
    <row r="73" spans="1:17" s="1" customFormat="1" x14ac:dyDescent="0.2">
      <c r="A73" s="42" t="s">
        <v>490</v>
      </c>
      <c r="B73" s="42"/>
      <c r="C73" s="42"/>
      <c r="D73" s="42">
        <f>D71*D61</f>
        <v>0</v>
      </c>
      <c r="E73" s="42" t="s">
        <v>485</v>
      </c>
      <c r="F73" s="42"/>
      <c r="G73" s="42"/>
      <c r="H73" s="42"/>
      <c r="I73" s="42"/>
      <c r="O73" s="127"/>
      <c r="Q73" s="65"/>
    </row>
    <row r="74" spans="1:17" s="1" customFormat="1" x14ac:dyDescent="0.2">
      <c r="A74" s="42" t="s">
        <v>491</v>
      </c>
      <c r="B74" s="42"/>
      <c r="C74" s="42"/>
      <c r="D74" s="42"/>
      <c r="E74" s="42" t="s">
        <v>493</v>
      </c>
      <c r="F74" s="42"/>
      <c r="G74" s="42"/>
      <c r="H74" s="42"/>
      <c r="I74" s="42"/>
      <c r="O74" s="127"/>
      <c r="Q74" s="65"/>
    </row>
    <row r="75" spans="1:17" s="1" customFormat="1" x14ac:dyDescent="0.2">
      <c r="A75" s="42" t="s">
        <v>496</v>
      </c>
      <c r="B75" s="42"/>
      <c r="C75" s="42"/>
      <c r="D75" s="42">
        <f>D67*D74</f>
        <v>0</v>
      </c>
      <c r="E75" s="42" t="s">
        <v>497</v>
      </c>
      <c r="F75" s="42"/>
      <c r="G75" s="42"/>
      <c r="H75" s="42"/>
      <c r="I75" s="42"/>
      <c r="O75" s="127"/>
      <c r="Q75" s="65"/>
    </row>
    <row r="76" spans="1:17" s="1" customFormat="1" x14ac:dyDescent="0.2">
      <c r="A76" s="42"/>
      <c r="B76" s="42"/>
      <c r="C76" s="42"/>
      <c r="D76" s="42"/>
      <c r="E76" s="42"/>
      <c r="F76" s="42"/>
      <c r="G76" s="42"/>
      <c r="H76" s="42"/>
      <c r="I76" s="42"/>
      <c r="O76" s="127"/>
      <c r="Q76" s="65"/>
    </row>
    <row r="77" spans="1:17" s="1" customFormat="1" x14ac:dyDescent="0.2">
      <c r="A77" s="105" t="s">
        <v>492</v>
      </c>
      <c r="B77" s="105"/>
      <c r="C77" s="105"/>
      <c r="D77" s="105">
        <f>D72+D73+D75</f>
        <v>200</v>
      </c>
      <c r="E77" s="105" t="s">
        <v>130</v>
      </c>
      <c r="F77" s="42"/>
      <c r="G77" s="42"/>
      <c r="H77" s="42"/>
      <c r="I77" s="42"/>
      <c r="O77" s="127"/>
      <c r="Q77" s="65"/>
    </row>
    <row r="78" spans="1:17" x14ac:dyDescent="0.2">
      <c r="A78" s="16"/>
      <c r="B78" s="16"/>
      <c r="C78" s="16"/>
      <c r="D78" s="16"/>
      <c r="E78" s="16"/>
      <c r="G78" s="16"/>
    </row>
    <row r="79" spans="1:17" x14ac:dyDescent="0.2">
      <c r="A79" s="87" t="s">
        <v>501</v>
      </c>
      <c r="B79" s="75"/>
      <c r="C79" s="75"/>
      <c r="D79" s="16"/>
      <c r="E79" s="16"/>
      <c r="G79" s="16"/>
    </row>
    <row r="80" spans="1:17" x14ac:dyDescent="0.2">
      <c r="A80" s="75"/>
      <c r="B80" s="75"/>
      <c r="C80" s="75"/>
      <c r="D80" s="16"/>
      <c r="E80" s="16"/>
      <c r="G80" s="16"/>
    </row>
    <row r="81" spans="1:17" x14ac:dyDescent="0.2">
      <c r="A81" s="16" t="s">
        <v>68</v>
      </c>
      <c r="B81" s="16"/>
      <c r="C81" s="16"/>
      <c r="D81" s="16">
        <f>+D29</f>
        <v>17140.117284404765</v>
      </c>
      <c r="E81" s="16" t="s">
        <v>37</v>
      </c>
      <c r="G81" s="16"/>
      <c r="H81" s="65">
        <f>D81/$D$86</f>
        <v>0.44613635114079409</v>
      </c>
    </row>
    <row r="82" spans="1:17" x14ac:dyDescent="0.2">
      <c r="A82" s="16" t="s">
        <v>58</v>
      </c>
      <c r="B82" s="16"/>
      <c r="C82" s="16"/>
      <c r="D82" s="16">
        <f>+D42</f>
        <v>20822.721621887958</v>
      </c>
      <c r="E82" s="16" t="s">
        <v>37</v>
      </c>
      <c r="G82" s="16"/>
      <c r="H82" s="65">
        <f t="shared" ref="H82:H84" si="0">D82/$D$86</f>
        <v>0.54199005123856847</v>
      </c>
    </row>
    <row r="83" spans="1:17" x14ac:dyDescent="0.2">
      <c r="A83" s="16" t="s">
        <v>67</v>
      </c>
      <c r="B83" s="16"/>
      <c r="C83" s="16"/>
      <c r="D83" s="91">
        <f>D55</f>
        <v>256.171875</v>
      </c>
      <c r="E83" s="16" t="s">
        <v>37</v>
      </c>
      <c r="G83" s="16"/>
      <c r="H83" s="65">
        <f t="shared" si="0"/>
        <v>6.6678415136273411E-3</v>
      </c>
    </row>
    <row r="84" spans="1:17" x14ac:dyDescent="0.2">
      <c r="A84" s="42" t="s">
        <v>498</v>
      </c>
      <c r="B84" s="16"/>
      <c r="C84" s="16"/>
      <c r="D84" s="91">
        <f>D77</f>
        <v>200</v>
      </c>
      <c r="E84" s="16" t="s">
        <v>37</v>
      </c>
      <c r="G84" s="16"/>
      <c r="H84" s="65">
        <f t="shared" si="0"/>
        <v>5.205756107010062E-3</v>
      </c>
      <c r="I84" s="59"/>
    </row>
    <row r="85" spans="1:17" x14ac:dyDescent="0.2">
      <c r="A85" s="16"/>
      <c r="B85" s="16"/>
      <c r="C85" s="16"/>
      <c r="D85" s="91"/>
      <c r="E85" s="16"/>
      <c r="G85" s="16"/>
      <c r="H85" s="65">
        <f>H82+H83+H84</f>
        <v>0.5538636488592058</v>
      </c>
    </row>
    <row r="86" spans="1:17" x14ac:dyDescent="0.2">
      <c r="A86" s="31" t="s">
        <v>185</v>
      </c>
      <c r="B86" s="31"/>
      <c r="C86" s="31"/>
      <c r="D86" s="31">
        <f>SUM(D81:D84)</f>
        <v>38419.010781292724</v>
      </c>
      <c r="E86" s="31" t="s">
        <v>130</v>
      </c>
      <c r="G86" s="16"/>
    </row>
    <row r="87" spans="1:17" x14ac:dyDescent="0.2">
      <c r="A87" s="16"/>
      <c r="B87" s="16"/>
      <c r="C87" s="16"/>
      <c r="D87" s="16" t="s">
        <v>8</v>
      </c>
      <c r="E87" s="16"/>
      <c r="G87" s="16"/>
    </row>
    <row r="88" spans="1:17" s="94" customFormat="1" x14ac:dyDescent="0.2">
      <c r="A88" s="105" t="s">
        <v>469</v>
      </c>
      <c r="B88" s="144">
        <f>BDI!C12</f>
        <v>0.29709999999999998</v>
      </c>
      <c r="C88" s="105"/>
      <c r="D88" s="134">
        <f>D90-D86</f>
        <v>11414.288103122068</v>
      </c>
      <c r="E88" s="105" t="s">
        <v>130</v>
      </c>
      <c r="F88" s="16"/>
      <c r="G88" s="105"/>
      <c r="H88" s="38"/>
      <c r="I88" s="65"/>
      <c r="O88" s="142"/>
      <c r="Q88" s="120"/>
    </row>
    <row r="89" spans="1:17" x14ac:dyDescent="0.2">
      <c r="A89" s="16"/>
      <c r="B89" s="16"/>
      <c r="C89" s="16"/>
      <c r="D89" s="16"/>
      <c r="E89" s="16"/>
      <c r="G89" s="124"/>
      <c r="H89" s="16"/>
    </row>
    <row r="90" spans="1:17" x14ac:dyDescent="0.2">
      <c r="A90" s="81" t="s">
        <v>468</v>
      </c>
      <c r="B90" s="84"/>
      <c r="C90" s="84"/>
      <c r="D90" s="31">
        <f>D86*(1+B88)</f>
        <v>49833.298884414791</v>
      </c>
      <c r="E90" s="31" t="s">
        <v>37</v>
      </c>
      <c r="G90" s="121"/>
      <c r="H90" s="16"/>
      <c r="I90" s="83"/>
    </row>
    <row r="91" spans="1:17" ht="12.95" customHeight="1" x14ac:dyDescent="0.2">
      <c r="A91" s="82" t="s">
        <v>298</v>
      </c>
      <c r="B91" s="31"/>
      <c r="C91" s="31"/>
      <c r="D91" s="31">
        <v>1</v>
      </c>
      <c r="E91" s="31" t="s">
        <v>654</v>
      </c>
      <c r="G91" s="16"/>
    </row>
    <row r="92" spans="1:17" ht="14.25" customHeight="1" x14ac:dyDescent="0.2">
      <c r="A92" s="82" t="s">
        <v>299</v>
      </c>
      <c r="B92" s="31"/>
      <c r="C92" s="31"/>
      <c r="D92" s="31">
        <f>D90/D91</f>
        <v>49833.298884414791</v>
      </c>
      <c r="E92" s="84" t="s">
        <v>425</v>
      </c>
      <c r="F92" s="59"/>
      <c r="G92" s="16"/>
    </row>
    <row r="93" spans="1:17" x14ac:dyDescent="0.2">
      <c r="A93" s="16"/>
      <c r="B93" s="16"/>
      <c r="C93" s="16"/>
      <c r="D93" s="16"/>
      <c r="E93" s="16"/>
      <c r="G93" s="16"/>
    </row>
    <row r="94" spans="1:17" x14ac:dyDescent="0.2">
      <c r="A94" s="88"/>
      <c r="B94" s="88"/>
      <c r="C94" s="88"/>
      <c r="G94" s="16"/>
    </row>
    <row r="95" spans="1:17" x14ac:dyDescent="0.2">
      <c r="G95" s="16"/>
    </row>
    <row r="96" spans="1:17" x14ac:dyDescent="0.2">
      <c r="G96" s="16"/>
    </row>
    <row r="97" spans="4:4" x14ac:dyDescent="0.2">
      <c r="D97" s="16"/>
    </row>
    <row r="100" spans="4:4" x14ac:dyDescent="0.2">
      <c r="D100" s="89"/>
    </row>
  </sheetData>
  <mergeCells count="3">
    <mergeCell ref="A1:E1"/>
    <mergeCell ref="A2:E2"/>
    <mergeCell ref="A7:E7"/>
  </mergeCells>
  <printOptions horizontalCentered="1"/>
  <pageMargins left="0.78740157480314965" right="0.78740157480314965" top="0.98425196850393704" bottom="0.98425196850393704" header="0.31496062992125984" footer="0.27559055118110237"/>
  <pageSetup paperSize="9" scale="85" orientation="portrait" r:id="rId1"/>
  <headerFooter>
    <oddHeader>&amp;L&amp;G</oddHeader>
    <oddFooter>&amp;C&amp;"Calibri,Regular"&amp;8CNPJ: 41.244.542/0001-97
Cabo Corporate Center – Torre Aníbal Cardoso 
Rua Cento e Sessenta e Três, 226 – sala 405  -  Cabo de Santo Agostinho– PE  - CEP:  54518-430  
Tel.: (81) 3076-0018  / e-mail: nrjambiental05@gmail.com</oddFooter>
  </headerFooter>
  <colBreaks count="1" manualBreakCount="1">
    <brk id="6" max="1048575" man="1"/>
  </colBreaks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98"/>
  <sheetViews>
    <sheetView view="pageBreakPreview" topLeftCell="A67" workbookViewId="0">
      <selection activeCell="G83" sqref="G83"/>
    </sheetView>
  </sheetViews>
  <sheetFormatPr defaultColWidth="9.33203125" defaultRowHeight="12.75" x14ac:dyDescent="0.2"/>
  <cols>
    <col min="1" max="1" width="50.83203125" style="13" customWidth="1"/>
    <col min="2" max="2" width="10.83203125" style="13" customWidth="1"/>
    <col min="3" max="3" width="7.33203125" style="13" customWidth="1"/>
    <col min="4" max="4" width="14.83203125" style="13" customWidth="1"/>
    <col min="5" max="5" width="20.83203125" style="13" customWidth="1"/>
    <col min="6" max="6" width="11.33203125" style="13" customWidth="1"/>
    <col min="7" max="7" width="11.83203125" style="11" bestFit="1" customWidth="1"/>
    <col min="8" max="8" width="9.33203125" style="59"/>
    <col min="9" max="9" width="12.1640625" style="11" bestFit="1" customWidth="1"/>
    <col min="10" max="10" width="9.33203125" style="11"/>
    <col min="11" max="11" width="15.83203125" style="11" customWidth="1"/>
    <col min="12" max="16384" width="9.33203125" style="11"/>
  </cols>
  <sheetData>
    <row r="1" spans="1:9" ht="18.75" hidden="1" x14ac:dyDescent="0.3">
      <c r="A1" s="335" t="s">
        <v>215</v>
      </c>
      <c r="B1" s="335"/>
      <c r="C1" s="335"/>
      <c r="D1" s="335"/>
      <c r="E1" s="335"/>
      <c r="F1" s="10"/>
    </row>
    <row r="2" spans="1:9" ht="18" hidden="1" customHeight="1" x14ac:dyDescent="0.25">
      <c r="A2" s="335"/>
      <c r="B2" s="335"/>
      <c r="C2" s="335"/>
      <c r="D2" s="335"/>
      <c r="E2" s="335"/>
      <c r="F2" s="12"/>
    </row>
    <row r="3" spans="1:9" hidden="1" x14ac:dyDescent="0.2"/>
    <row r="4" spans="1:9" hidden="1" x14ac:dyDescent="0.2">
      <c r="A4" s="358"/>
      <c r="B4" s="358"/>
    </row>
    <row r="5" spans="1:9" hidden="1" x14ac:dyDescent="0.2"/>
    <row r="6" spans="1:9" hidden="1" x14ac:dyDescent="0.2">
      <c r="A6" s="14" t="s">
        <v>217</v>
      </c>
      <c r="D6" s="14" t="s">
        <v>211</v>
      </c>
    </row>
    <row r="8" spans="1:9" x14ac:dyDescent="0.2">
      <c r="A8" s="336" t="s">
        <v>0</v>
      </c>
      <c r="B8" s="336"/>
      <c r="C8" s="336"/>
      <c r="D8" s="336"/>
      <c r="E8" s="336"/>
      <c r="F8" s="68"/>
    </row>
    <row r="9" spans="1:9" x14ac:dyDescent="0.2">
      <c r="A9" s="16"/>
      <c r="B9" s="16"/>
      <c r="C9" s="16"/>
      <c r="D9" s="16"/>
      <c r="E9" s="16"/>
      <c r="F9" s="16"/>
    </row>
    <row r="10" spans="1:9" ht="12.95" customHeight="1" x14ac:dyDescent="0.2">
      <c r="A10" s="69" t="s">
        <v>656</v>
      </c>
      <c r="B10" s="69"/>
      <c r="C10" s="69"/>
      <c r="D10" s="18"/>
      <c r="E10" s="18"/>
      <c r="F10" s="18"/>
    </row>
    <row r="11" spans="1:9" x14ac:dyDescent="0.2">
      <c r="A11" s="16"/>
      <c r="B11" s="16"/>
      <c r="C11" s="16"/>
      <c r="D11" s="16"/>
      <c r="E11" s="16"/>
      <c r="F11" s="16"/>
    </row>
    <row r="12" spans="1:9" x14ac:dyDescent="0.2">
      <c r="A12" s="80" t="s">
        <v>34</v>
      </c>
      <c r="B12" s="78"/>
      <c r="C12" s="78"/>
      <c r="D12" s="16"/>
      <c r="E12" s="16"/>
      <c r="F12" s="16"/>
    </row>
    <row r="13" spans="1:9" x14ac:dyDescent="0.2">
      <c r="A13" s="16"/>
      <c r="B13" s="16"/>
      <c r="C13" s="16"/>
      <c r="D13" s="16"/>
      <c r="E13" s="16"/>
      <c r="F13" s="16"/>
    </row>
    <row r="14" spans="1:9" x14ac:dyDescent="0.2">
      <c r="A14" s="70" t="s">
        <v>162</v>
      </c>
      <c r="B14" s="70"/>
      <c r="C14" s="70"/>
      <c r="D14" s="16">
        <v>15</v>
      </c>
      <c r="E14" s="16" t="s">
        <v>35</v>
      </c>
      <c r="F14" s="16"/>
      <c r="I14" s="59"/>
    </row>
    <row r="15" spans="1:9" x14ac:dyDescent="0.2">
      <c r="A15" s="61" t="s">
        <v>328</v>
      </c>
      <c r="B15" s="61"/>
      <c r="C15" s="61"/>
      <c r="D15" s="16">
        <f>VARREDOR!B34</f>
        <v>3926.9745976190479</v>
      </c>
      <c r="E15" s="61" t="s">
        <v>36</v>
      </c>
      <c r="F15" s="16"/>
    </row>
    <row r="16" spans="1:9" x14ac:dyDescent="0.2">
      <c r="A16" s="61" t="s">
        <v>466</v>
      </c>
      <c r="B16" s="61"/>
      <c r="C16" s="61"/>
      <c r="D16" s="16"/>
      <c r="E16" s="16" t="s">
        <v>37</v>
      </c>
      <c r="F16" s="16"/>
      <c r="G16" s="16"/>
    </row>
    <row r="17" spans="1:10" x14ac:dyDescent="0.2">
      <c r="A17" s="70" t="s">
        <v>426</v>
      </c>
      <c r="B17" s="70"/>
      <c r="C17" s="70"/>
      <c r="D17" s="16">
        <f>(D15*D14)+D16</f>
        <v>58904.618964285721</v>
      </c>
      <c r="E17" s="16" t="s">
        <v>37</v>
      </c>
      <c r="F17" s="16"/>
    </row>
    <row r="18" spans="1:10" x14ac:dyDescent="0.2">
      <c r="A18" s="70"/>
      <c r="B18" s="70"/>
      <c r="C18" s="70"/>
      <c r="D18" s="16"/>
      <c r="E18" s="16"/>
      <c r="F18" s="16"/>
    </row>
    <row r="19" spans="1:10" x14ac:dyDescent="0.2">
      <c r="A19" s="61" t="s">
        <v>38</v>
      </c>
      <c r="B19" s="61"/>
      <c r="C19" s="61"/>
      <c r="D19" s="16">
        <v>1</v>
      </c>
      <c r="E19" s="16" t="s">
        <v>35</v>
      </c>
      <c r="F19" s="16"/>
    </row>
    <row r="20" spans="1:10" x14ac:dyDescent="0.2">
      <c r="A20" s="16" t="s">
        <v>310</v>
      </c>
      <c r="B20" s="16"/>
      <c r="C20" s="16"/>
      <c r="D20" s="16">
        <f>'ENC I'!B32</f>
        <v>9061.6866043333339</v>
      </c>
      <c r="E20" s="16" t="s">
        <v>36</v>
      </c>
      <c r="F20" s="16"/>
    </row>
    <row r="21" spans="1:10" x14ac:dyDescent="0.2">
      <c r="A21" s="61" t="s">
        <v>467</v>
      </c>
      <c r="B21" s="61"/>
      <c r="C21" s="61"/>
      <c r="D21" s="16"/>
      <c r="E21" s="16" t="s">
        <v>37</v>
      </c>
      <c r="F21" s="16"/>
    </row>
    <row r="22" spans="1:10" x14ac:dyDescent="0.2">
      <c r="A22" s="16" t="s">
        <v>309</v>
      </c>
      <c r="B22" s="16"/>
      <c r="C22" s="16"/>
      <c r="D22" s="16">
        <f>(D20*D19)+D21</f>
        <v>9061.6866043333339</v>
      </c>
      <c r="E22" s="16" t="s">
        <v>37</v>
      </c>
      <c r="F22" s="16"/>
    </row>
    <row r="23" spans="1:10" hidden="1" x14ac:dyDescent="0.2">
      <c r="A23" s="16"/>
      <c r="B23" s="16"/>
      <c r="C23" s="16"/>
      <c r="D23" s="16"/>
      <c r="E23" s="16"/>
      <c r="F23" s="16"/>
    </row>
    <row r="24" spans="1:10" hidden="1" x14ac:dyDescent="0.2">
      <c r="A24" s="61" t="s">
        <v>49</v>
      </c>
      <c r="B24" s="61"/>
      <c r="C24" s="61"/>
      <c r="D24" s="16"/>
      <c r="E24" s="16" t="s">
        <v>35</v>
      </c>
      <c r="F24" s="16"/>
      <c r="G24" s="16"/>
      <c r="J24" s="11">
        <v>3</v>
      </c>
    </row>
    <row r="25" spans="1:10" hidden="1" x14ac:dyDescent="0.2">
      <c r="A25" s="61" t="s">
        <v>50</v>
      </c>
      <c r="B25" s="61"/>
      <c r="C25" s="61"/>
      <c r="D25" s="16">
        <f>MOTORISTA!B32</f>
        <v>6484.3952558333331</v>
      </c>
      <c r="E25" s="16" t="s">
        <v>36</v>
      </c>
      <c r="F25" s="16"/>
      <c r="G25" s="16"/>
      <c r="J25" s="11">
        <f>J22*J24</f>
        <v>0</v>
      </c>
    </row>
    <row r="26" spans="1:10" hidden="1" x14ac:dyDescent="0.2">
      <c r="A26" s="70" t="s">
        <v>52</v>
      </c>
      <c r="B26" s="70"/>
      <c r="C26" s="70"/>
      <c r="D26" s="16">
        <f>D24*D25</f>
        <v>0</v>
      </c>
      <c r="E26" s="16" t="s">
        <v>43</v>
      </c>
      <c r="F26" s="16"/>
      <c r="G26" s="16"/>
    </row>
    <row r="27" spans="1:10" x14ac:dyDescent="0.2">
      <c r="A27" s="16"/>
      <c r="B27" s="16"/>
      <c r="C27" s="16"/>
      <c r="D27" s="16"/>
      <c r="E27" s="16"/>
      <c r="F27" s="16"/>
    </row>
    <row r="28" spans="1:10" x14ac:dyDescent="0.2">
      <c r="A28" s="31" t="s">
        <v>191</v>
      </c>
      <c r="B28" s="31"/>
      <c r="C28" s="31"/>
      <c r="D28" s="31">
        <f>D17+D22+D26</f>
        <v>67966.305568619049</v>
      </c>
      <c r="E28" s="31" t="s">
        <v>130</v>
      </c>
      <c r="F28" s="16"/>
    </row>
    <row r="29" spans="1:10" x14ac:dyDescent="0.2">
      <c r="A29" s="16"/>
      <c r="B29" s="16"/>
      <c r="C29" s="16"/>
      <c r="D29" s="16"/>
      <c r="E29" s="16"/>
      <c r="F29" s="16"/>
    </row>
    <row r="30" spans="1:10" x14ac:dyDescent="0.2">
      <c r="A30" s="71" t="s">
        <v>519</v>
      </c>
      <c r="B30" s="72"/>
      <c r="C30" s="72"/>
      <c r="D30" s="76"/>
      <c r="E30" s="16"/>
      <c r="F30" s="16"/>
    </row>
    <row r="31" spans="1:10" x14ac:dyDescent="0.2">
      <c r="A31" s="75"/>
      <c r="B31" s="75"/>
      <c r="C31" s="75"/>
      <c r="D31" s="76"/>
      <c r="E31" s="16"/>
      <c r="G31" s="16"/>
      <c r="H31" s="90"/>
    </row>
    <row r="32" spans="1:10" x14ac:dyDescent="0.2">
      <c r="A32" s="22" t="s">
        <v>112</v>
      </c>
      <c r="B32" s="181">
        <v>9</v>
      </c>
      <c r="C32" s="74" t="s">
        <v>113</v>
      </c>
      <c r="D32" s="16">
        <f>B32*Planilha2!U4</f>
        <v>122.53500000000003</v>
      </c>
      <c r="E32" s="16" t="s">
        <v>37</v>
      </c>
      <c r="G32" s="172"/>
      <c r="H32" s="183"/>
    </row>
    <row r="33" spans="1:8" x14ac:dyDescent="0.2">
      <c r="A33" s="16" t="s">
        <v>115</v>
      </c>
      <c r="B33" s="181">
        <v>6</v>
      </c>
      <c r="C33" s="74" t="s">
        <v>113</v>
      </c>
      <c r="D33" s="16">
        <f>B33*Planilha2!U3</f>
        <v>92.8</v>
      </c>
      <c r="E33" s="16" t="s">
        <v>37</v>
      </c>
      <c r="G33" s="173"/>
      <c r="H33" s="184"/>
    </row>
    <row r="34" spans="1:8" x14ac:dyDescent="0.2">
      <c r="A34" s="16" t="s">
        <v>116</v>
      </c>
      <c r="B34" s="182">
        <v>5</v>
      </c>
      <c r="C34" s="74" t="s">
        <v>113</v>
      </c>
      <c r="D34" s="16">
        <f>B34*Planilha2!U6</f>
        <v>169.2833333333333</v>
      </c>
      <c r="E34" s="16" t="s">
        <v>37</v>
      </c>
      <c r="G34" s="173"/>
      <c r="H34" s="184"/>
    </row>
    <row r="35" spans="1:8" x14ac:dyDescent="0.2">
      <c r="A35" s="16" t="s">
        <v>117</v>
      </c>
      <c r="B35" s="182">
        <v>6</v>
      </c>
      <c r="C35" s="74" t="s">
        <v>113</v>
      </c>
      <c r="D35" s="16">
        <f>B35*Planilha2!U5</f>
        <v>261.8</v>
      </c>
      <c r="E35" s="16" t="s">
        <v>37</v>
      </c>
      <c r="G35" s="173"/>
      <c r="H35" s="184"/>
    </row>
    <row r="36" spans="1:8" x14ac:dyDescent="0.2">
      <c r="A36" s="16" t="s">
        <v>118</v>
      </c>
      <c r="B36" s="182">
        <v>10</v>
      </c>
      <c r="C36" s="74" t="s">
        <v>113</v>
      </c>
      <c r="D36" s="16">
        <f>B36*Planilha2!U7</f>
        <v>258.64999999999998</v>
      </c>
      <c r="E36" s="16" t="s">
        <v>37</v>
      </c>
      <c r="G36" s="173"/>
      <c r="H36" s="184"/>
    </row>
    <row r="37" spans="1:8" x14ac:dyDescent="0.2">
      <c r="A37" s="16" t="s">
        <v>119</v>
      </c>
      <c r="B37" s="182">
        <v>5</v>
      </c>
      <c r="C37" s="74" t="s">
        <v>113</v>
      </c>
      <c r="D37" s="16">
        <f>B37*Planilha2!U8</f>
        <v>153.5958333333333</v>
      </c>
      <c r="E37" s="16" t="s">
        <v>37</v>
      </c>
      <c r="G37" s="173"/>
      <c r="H37" s="184"/>
    </row>
    <row r="38" spans="1:8" x14ac:dyDescent="0.2">
      <c r="A38" s="16" t="s">
        <v>120</v>
      </c>
      <c r="B38" s="182">
        <v>4</v>
      </c>
      <c r="C38" s="74" t="s">
        <v>113</v>
      </c>
      <c r="D38" s="16">
        <f>B38*Planilha2!U13</f>
        <v>142.69666666666669</v>
      </c>
      <c r="E38" s="16" t="s">
        <v>37</v>
      </c>
      <c r="G38" s="173"/>
      <c r="H38" s="184"/>
    </row>
    <row r="39" spans="1:8" x14ac:dyDescent="0.2">
      <c r="A39" s="16" t="s">
        <v>104</v>
      </c>
      <c r="B39" s="182">
        <v>4</v>
      </c>
      <c r="C39" s="74" t="s">
        <v>113</v>
      </c>
      <c r="D39" s="16">
        <f>B39*Planilha2!U12</f>
        <v>16.940833333333334</v>
      </c>
      <c r="E39" s="16" t="s">
        <v>37</v>
      </c>
      <c r="G39" s="173"/>
      <c r="H39" s="184"/>
    </row>
    <row r="40" spans="1:8" x14ac:dyDescent="0.2">
      <c r="A40" s="16" t="s">
        <v>121</v>
      </c>
      <c r="B40" s="182">
        <v>3</v>
      </c>
      <c r="C40" s="74" t="s">
        <v>113</v>
      </c>
      <c r="D40" s="16">
        <f>B40*Planilha2!U14</f>
        <v>59.5</v>
      </c>
      <c r="E40" s="16" t="s">
        <v>37</v>
      </c>
      <c r="G40" s="173"/>
      <c r="H40" s="184"/>
    </row>
    <row r="41" spans="1:8" x14ac:dyDescent="0.2">
      <c r="A41" s="16" t="s">
        <v>122</v>
      </c>
      <c r="B41" s="182">
        <v>4</v>
      </c>
      <c r="C41" s="74" t="s">
        <v>113</v>
      </c>
      <c r="D41" s="16">
        <f>B41*Planilha2!U15</f>
        <v>15.049166666666666</v>
      </c>
      <c r="E41" s="16" t="s">
        <v>37</v>
      </c>
      <c r="G41" s="16"/>
    </row>
    <row r="42" spans="1:8" x14ac:dyDescent="0.2">
      <c r="A42" s="16" t="s">
        <v>123</v>
      </c>
      <c r="B42" s="182">
        <v>15</v>
      </c>
      <c r="C42" s="74" t="s">
        <v>113</v>
      </c>
      <c r="D42" s="16">
        <f>B42*Planilha2!U10</f>
        <v>90.675000000000011</v>
      </c>
      <c r="E42" s="16" t="s">
        <v>37</v>
      </c>
      <c r="G42" s="16"/>
    </row>
    <row r="43" spans="1:8" x14ac:dyDescent="0.2">
      <c r="A43" s="42" t="s">
        <v>472</v>
      </c>
      <c r="B43" s="179">
        <f>(D14+D19)*2*26</f>
        <v>832</v>
      </c>
      <c r="C43" s="107" t="s">
        <v>473</v>
      </c>
      <c r="D43" s="42">
        <f>B43*Planilha2!R27</f>
        <v>532.48</v>
      </c>
      <c r="E43" s="42" t="s">
        <v>43</v>
      </c>
      <c r="G43" s="16"/>
    </row>
    <row r="44" spans="1:8" x14ac:dyDescent="0.2">
      <c r="A44" s="16"/>
      <c r="B44" s="16"/>
      <c r="C44" s="16"/>
      <c r="D44" s="16"/>
      <c r="E44" s="16"/>
      <c r="G44" s="16"/>
    </row>
    <row r="45" spans="1:8" x14ac:dyDescent="0.2">
      <c r="A45" s="31" t="s">
        <v>183</v>
      </c>
      <c r="B45" s="31"/>
      <c r="C45" s="31"/>
      <c r="D45" s="31">
        <f>SUM(D32:D44)</f>
        <v>1916.0058333333332</v>
      </c>
      <c r="E45" s="31" t="s">
        <v>130</v>
      </c>
      <c r="G45" s="16"/>
    </row>
    <row r="46" spans="1:8" x14ac:dyDescent="0.2">
      <c r="A46" s="16"/>
      <c r="B46" s="16"/>
      <c r="C46" s="16"/>
      <c r="D46" s="16"/>
      <c r="E46" s="16"/>
      <c r="G46" s="16"/>
    </row>
    <row r="47" spans="1:8" hidden="1" x14ac:dyDescent="0.2">
      <c r="A47" s="71" t="s">
        <v>292</v>
      </c>
      <c r="B47" s="72"/>
      <c r="C47" s="72"/>
      <c r="D47" s="16"/>
      <c r="E47" s="16"/>
      <c r="F47" s="16"/>
      <c r="G47" s="16"/>
    </row>
    <row r="48" spans="1:8" hidden="1" x14ac:dyDescent="0.2">
      <c r="A48" s="16"/>
      <c r="B48" s="16"/>
      <c r="C48" s="16"/>
      <c r="D48" s="16"/>
      <c r="E48" s="16"/>
      <c r="F48" s="16"/>
      <c r="G48" s="16"/>
    </row>
    <row r="49" spans="1:17" hidden="1" x14ac:dyDescent="0.2">
      <c r="A49" s="70" t="s">
        <v>290</v>
      </c>
      <c r="B49" s="70"/>
      <c r="C49" s="70"/>
      <c r="D49" s="16"/>
      <c r="E49" s="16" t="s">
        <v>35</v>
      </c>
      <c r="F49" s="16"/>
      <c r="G49" s="16"/>
    </row>
    <row r="50" spans="1:17" hidden="1" x14ac:dyDescent="0.2">
      <c r="A50" s="16" t="s">
        <v>53</v>
      </c>
      <c r="B50" s="16"/>
      <c r="C50" s="16"/>
      <c r="D50" s="16">
        <f>'BASCULANTE 6'!B62</f>
        <v>10286.729909122527</v>
      </c>
      <c r="E50" s="16" t="s">
        <v>36</v>
      </c>
      <c r="F50" s="16"/>
      <c r="G50" s="16"/>
    </row>
    <row r="51" spans="1:17" hidden="1" x14ac:dyDescent="0.2">
      <c r="A51" s="61" t="s">
        <v>54</v>
      </c>
      <c r="B51" s="61"/>
      <c r="C51" s="61"/>
      <c r="D51" s="16">
        <f>+D50*D49</f>
        <v>0</v>
      </c>
      <c r="E51" s="16" t="s">
        <v>37</v>
      </c>
      <c r="F51" s="16"/>
      <c r="G51" s="16"/>
    </row>
    <row r="52" spans="1:17" hidden="1" x14ac:dyDescent="0.2">
      <c r="A52" s="70"/>
      <c r="B52" s="70"/>
      <c r="C52" s="70"/>
      <c r="D52" s="16"/>
      <c r="E52" s="16"/>
      <c r="F52" s="16"/>
      <c r="G52" s="16"/>
    </row>
    <row r="53" spans="1:17" hidden="1" x14ac:dyDescent="0.2">
      <c r="A53" s="93" t="s">
        <v>291</v>
      </c>
      <c r="B53" s="93"/>
      <c r="C53" s="93"/>
      <c r="D53" s="31">
        <f>D51</f>
        <v>0</v>
      </c>
      <c r="E53" s="31" t="s">
        <v>130</v>
      </c>
      <c r="F53" s="16"/>
      <c r="G53" s="16"/>
    </row>
    <row r="54" spans="1:17" hidden="1" x14ac:dyDescent="0.2">
      <c r="A54" s="69"/>
      <c r="B54" s="69"/>
      <c r="C54" s="69"/>
      <c r="D54" s="18"/>
      <c r="E54" s="18"/>
      <c r="F54" s="16"/>
      <c r="G54" s="16"/>
    </row>
    <row r="55" spans="1:17" s="1" customFormat="1" x14ac:dyDescent="0.2">
      <c r="A55" s="109" t="s">
        <v>503</v>
      </c>
      <c r="B55" s="42"/>
      <c r="C55" s="42"/>
      <c r="D55" s="42"/>
      <c r="E55" s="42"/>
      <c r="F55" s="42"/>
      <c r="G55" s="42"/>
      <c r="H55" s="42"/>
      <c r="I55" s="42"/>
      <c r="O55" s="127"/>
      <c r="Q55" s="65"/>
    </row>
    <row r="56" spans="1:17" s="1" customFormat="1" x14ac:dyDescent="0.2">
      <c r="A56" s="109"/>
      <c r="B56" s="42"/>
      <c r="C56" s="42"/>
      <c r="D56" s="42"/>
      <c r="E56" s="42"/>
      <c r="F56" s="42"/>
      <c r="G56" s="42"/>
      <c r="H56" s="42"/>
      <c r="I56" s="42"/>
      <c r="O56" s="127"/>
      <c r="Q56" s="65"/>
    </row>
    <row r="57" spans="1:17" s="1" customFormat="1" x14ac:dyDescent="0.2">
      <c r="A57" s="104" t="s">
        <v>504</v>
      </c>
      <c r="B57" s="42"/>
      <c r="C57" s="42"/>
      <c r="D57" s="42"/>
      <c r="E57" s="42"/>
      <c r="F57" s="42"/>
      <c r="G57" s="42"/>
      <c r="H57" s="42"/>
      <c r="I57" s="42"/>
      <c r="O57" s="127"/>
      <c r="Q57" s="65"/>
    </row>
    <row r="58" spans="1:17" s="1" customFormat="1" x14ac:dyDescent="0.2">
      <c r="A58" s="104" t="s">
        <v>505</v>
      </c>
      <c r="B58" s="42"/>
      <c r="C58" s="42"/>
      <c r="D58" s="42">
        <f>63*1.5</f>
        <v>94.5</v>
      </c>
      <c r="E58" s="42" t="s">
        <v>475</v>
      </c>
      <c r="F58" s="42"/>
      <c r="G58" s="42"/>
      <c r="H58" s="42"/>
      <c r="I58" s="42"/>
      <c r="O58" s="127"/>
      <c r="Q58" s="65"/>
    </row>
    <row r="59" spans="1:17" s="1" customFormat="1" x14ac:dyDescent="0.2">
      <c r="A59" s="104" t="s">
        <v>506</v>
      </c>
      <c r="B59" s="42"/>
      <c r="C59" s="42"/>
      <c r="D59" s="42">
        <f>47.25*1.3</f>
        <v>61.425000000000004</v>
      </c>
      <c r="E59" s="42" t="s">
        <v>485</v>
      </c>
      <c r="F59" s="42"/>
      <c r="G59" s="42"/>
      <c r="H59" s="42"/>
      <c r="I59" s="42"/>
      <c r="O59" s="127"/>
      <c r="Q59" s="65"/>
    </row>
    <row r="60" spans="1:17" s="1" customFormat="1" x14ac:dyDescent="0.2">
      <c r="A60" s="104"/>
      <c r="B60" s="42"/>
      <c r="C60" s="42"/>
      <c r="D60" s="42"/>
      <c r="E60" s="42"/>
      <c r="F60" s="42"/>
      <c r="G60" s="42"/>
      <c r="H60" s="42"/>
      <c r="I60" s="42"/>
      <c r="O60" s="127"/>
      <c r="Q60" s="65"/>
    </row>
    <row r="61" spans="1:17" s="1" customFormat="1" x14ac:dyDescent="0.2">
      <c r="A61" s="104" t="s">
        <v>507</v>
      </c>
      <c r="B61" s="42"/>
      <c r="C61" s="42"/>
      <c r="D61" s="42"/>
      <c r="E61" s="42"/>
      <c r="F61" s="42"/>
      <c r="G61" s="42"/>
      <c r="H61" s="42"/>
      <c r="I61" s="42"/>
      <c r="O61" s="127"/>
      <c r="Q61" s="65"/>
    </row>
    <row r="62" spans="1:17" s="1" customFormat="1" x14ac:dyDescent="0.2">
      <c r="A62" s="104" t="s">
        <v>508</v>
      </c>
      <c r="B62" s="42"/>
      <c r="C62" s="42"/>
      <c r="D62" s="42">
        <v>800</v>
      </c>
      <c r="E62" s="42" t="s">
        <v>484</v>
      </c>
      <c r="F62" s="42"/>
      <c r="G62" s="42"/>
      <c r="H62" s="42"/>
      <c r="I62" s="42"/>
      <c r="O62" s="127"/>
      <c r="Q62" s="65"/>
    </row>
    <row r="63" spans="1:17" s="1" customFormat="1" x14ac:dyDescent="0.2">
      <c r="A63" s="104" t="s">
        <v>509</v>
      </c>
      <c r="B63" s="42"/>
      <c r="C63" s="42"/>
      <c r="D63" s="42">
        <v>60</v>
      </c>
      <c r="E63" s="42" t="s">
        <v>485</v>
      </c>
      <c r="F63" s="42"/>
      <c r="G63" s="42"/>
      <c r="H63" s="42"/>
      <c r="I63" s="42"/>
      <c r="O63" s="127"/>
      <c r="Q63" s="65"/>
    </row>
    <row r="64" spans="1:17" s="1" customFormat="1" x14ac:dyDescent="0.2">
      <c r="A64" s="104" t="s">
        <v>510</v>
      </c>
      <c r="B64" s="42"/>
      <c r="C64" s="42"/>
      <c r="D64" s="42">
        <v>30</v>
      </c>
      <c r="E64" s="42" t="s">
        <v>55</v>
      </c>
      <c r="F64" s="42"/>
      <c r="G64" s="42"/>
      <c r="H64" s="42"/>
      <c r="I64" s="42"/>
      <c r="O64" s="127"/>
      <c r="Q64" s="65"/>
    </row>
    <row r="65" spans="1:17" s="1" customFormat="1" x14ac:dyDescent="0.2">
      <c r="A65" s="42" t="s">
        <v>511</v>
      </c>
      <c r="B65" s="42"/>
      <c r="C65" s="42"/>
      <c r="D65" s="42">
        <f>(D62/D64)+D63</f>
        <v>86.666666666666671</v>
      </c>
      <c r="E65" s="42" t="s">
        <v>486</v>
      </c>
      <c r="F65" s="42"/>
      <c r="G65" s="42"/>
      <c r="H65" s="42"/>
      <c r="I65" s="42"/>
      <c r="O65" s="127"/>
      <c r="Q65" s="65"/>
    </row>
    <row r="66" spans="1:17" s="1" customFormat="1" x14ac:dyDescent="0.2">
      <c r="A66" s="42"/>
      <c r="B66" s="42"/>
      <c r="C66" s="42"/>
      <c r="D66" s="42"/>
      <c r="E66" s="42"/>
      <c r="F66" s="42"/>
      <c r="G66" s="42"/>
      <c r="H66" s="42"/>
      <c r="I66" s="42"/>
      <c r="O66" s="127"/>
      <c r="Q66" s="65"/>
    </row>
    <row r="67" spans="1:17" s="1" customFormat="1" x14ac:dyDescent="0.2">
      <c r="A67" s="42" t="s">
        <v>512</v>
      </c>
      <c r="B67" s="42"/>
      <c r="C67" s="42"/>
      <c r="D67" s="42"/>
      <c r="E67" s="42"/>
      <c r="F67" s="42"/>
      <c r="G67" s="42"/>
      <c r="H67" s="42"/>
      <c r="I67" s="42"/>
      <c r="O67" s="127"/>
      <c r="Q67" s="65"/>
    </row>
    <row r="68" spans="1:17" s="1" customFormat="1" x14ac:dyDescent="0.2">
      <c r="A68" s="42" t="s">
        <v>513</v>
      </c>
      <c r="B68" s="42"/>
      <c r="C68" s="42"/>
      <c r="D68" s="42">
        <f>D30</f>
        <v>0</v>
      </c>
      <c r="E68" s="42" t="s">
        <v>493</v>
      </c>
      <c r="F68" s="42"/>
      <c r="G68" s="42"/>
      <c r="H68" s="42"/>
      <c r="I68" s="42"/>
      <c r="O68" s="127"/>
      <c r="Q68" s="65"/>
    </row>
    <row r="69" spans="1:17" s="1" customFormat="1" x14ac:dyDescent="0.2">
      <c r="A69" s="42" t="s">
        <v>514</v>
      </c>
      <c r="B69" s="42"/>
      <c r="C69" s="42"/>
      <c r="D69" s="42">
        <v>0</v>
      </c>
      <c r="E69" s="42" t="s">
        <v>493</v>
      </c>
      <c r="F69" s="42"/>
      <c r="G69" s="42"/>
      <c r="H69" s="42"/>
      <c r="I69" s="42"/>
      <c r="O69" s="127"/>
      <c r="Q69" s="65"/>
    </row>
    <row r="70" spans="1:17" s="1" customFormat="1" x14ac:dyDescent="0.2">
      <c r="A70" s="42" t="s">
        <v>515</v>
      </c>
      <c r="B70" s="42"/>
      <c r="C70" s="42"/>
      <c r="D70" s="42">
        <f>D58*D68</f>
        <v>0</v>
      </c>
      <c r="E70" s="42" t="s">
        <v>494</v>
      </c>
      <c r="F70" s="42"/>
      <c r="G70" s="42"/>
      <c r="H70" s="42"/>
      <c r="I70" s="42"/>
      <c r="O70" s="127"/>
      <c r="Q70" s="65"/>
    </row>
    <row r="71" spans="1:17" s="1" customFormat="1" x14ac:dyDescent="0.2">
      <c r="A71" s="42" t="s">
        <v>516</v>
      </c>
      <c r="B71" s="42"/>
      <c r="C71" s="42"/>
      <c r="D71" s="42">
        <f>D69*D59</f>
        <v>0</v>
      </c>
      <c r="E71" s="42" t="s">
        <v>485</v>
      </c>
      <c r="F71" s="42"/>
      <c r="G71" s="42"/>
      <c r="H71" s="42"/>
      <c r="I71" s="42"/>
      <c r="O71" s="127"/>
      <c r="Q71" s="65"/>
    </row>
    <row r="72" spans="1:17" s="1" customFormat="1" x14ac:dyDescent="0.2">
      <c r="A72" s="42" t="s">
        <v>517</v>
      </c>
      <c r="B72" s="42"/>
      <c r="C72" s="42"/>
      <c r="D72" s="42"/>
      <c r="E72" s="42" t="s">
        <v>493</v>
      </c>
      <c r="F72" s="42"/>
      <c r="G72" s="42"/>
      <c r="H72" s="42"/>
      <c r="I72" s="42"/>
      <c r="O72" s="127"/>
      <c r="Q72" s="65"/>
    </row>
    <row r="73" spans="1:17" s="1" customFormat="1" x14ac:dyDescent="0.2">
      <c r="A73" s="42" t="s">
        <v>518</v>
      </c>
      <c r="B73" s="42"/>
      <c r="C73" s="42"/>
      <c r="D73" s="42">
        <f>D65*D72</f>
        <v>0</v>
      </c>
      <c r="E73" s="42" t="s">
        <v>497</v>
      </c>
      <c r="F73" s="42"/>
      <c r="G73" s="42"/>
      <c r="H73" s="42"/>
      <c r="I73" s="42"/>
      <c r="O73" s="127"/>
      <c r="Q73" s="65"/>
    </row>
    <row r="74" spans="1:17" x14ac:dyDescent="0.2">
      <c r="A74" s="16"/>
      <c r="B74" s="16"/>
      <c r="C74" s="16"/>
      <c r="D74" s="16"/>
      <c r="E74" s="16"/>
      <c r="F74" s="16"/>
      <c r="G74" s="16"/>
    </row>
    <row r="75" spans="1:17" s="1" customFormat="1" x14ac:dyDescent="0.2">
      <c r="A75" s="105" t="s">
        <v>492</v>
      </c>
      <c r="B75" s="105"/>
      <c r="C75" s="105"/>
      <c r="D75" s="105">
        <f>D70+D71+D73</f>
        <v>0</v>
      </c>
      <c r="E75" s="105" t="s">
        <v>130</v>
      </c>
      <c r="F75" s="42"/>
      <c r="G75" s="42"/>
      <c r="H75" s="42"/>
      <c r="I75" s="42"/>
      <c r="O75" s="127"/>
      <c r="Q75" s="65"/>
    </row>
    <row r="76" spans="1:17" x14ac:dyDescent="0.2">
      <c r="A76" s="69"/>
      <c r="B76" s="69"/>
      <c r="C76" s="69"/>
      <c r="D76" s="18"/>
      <c r="E76" s="18"/>
      <c r="F76" s="16"/>
      <c r="G76" s="16"/>
    </row>
    <row r="77" spans="1:17" x14ac:dyDescent="0.2">
      <c r="A77" s="80" t="s">
        <v>66</v>
      </c>
      <c r="B77" s="78"/>
      <c r="C77" s="78"/>
      <c r="D77" s="16"/>
      <c r="E77" s="16"/>
      <c r="G77" s="16"/>
    </row>
    <row r="78" spans="1:17" x14ac:dyDescent="0.2">
      <c r="A78" s="78"/>
      <c r="B78" s="78"/>
      <c r="C78" s="78"/>
      <c r="D78" s="16"/>
      <c r="E78" s="16"/>
      <c r="G78" s="16"/>
    </row>
    <row r="79" spans="1:17" x14ac:dyDescent="0.2">
      <c r="A79" s="16" t="s">
        <v>68</v>
      </c>
      <c r="B79" s="16"/>
      <c r="C79" s="16"/>
      <c r="D79" s="16">
        <f>D28</f>
        <v>67966.305568619049</v>
      </c>
      <c r="E79" s="16" t="s">
        <v>37</v>
      </c>
      <c r="F79" s="16"/>
      <c r="G79" s="65">
        <f>D79/$D$84</f>
        <v>0.97258239181138761</v>
      </c>
    </row>
    <row r="80" spans="1:17" x14ac:dyDescent="0.2">
      <c r="A80" s="16" t="s">
        <v>67</v>
      </c>
      <c r="B80" s="16"/>
      <c r="C80" s="16"/>
      <c r="D80" s="16">
        <f>D45</f>
        <v>1916.0058333333332</v>
      </c>
      <c r="E80" s="16" t="s">
        <v>37</v>
      </c>
      <c r="F80" s="16"/>
      <c r="G80" s="65">
        <f t="shared" ref="G80:G82" si="0">D80/$D$84</f>
        <v>2.7417608188612427E-2</v>
      </c>
    </row>
    <row r="81" spans="1:17" x14ac:dyDescent="0.2">
      <c r="A81" s="16" t="s">
        <v>58</v>
      </c>
      <c r="B81" s="16"/>
      <c r="C81" s="16"/>
      <c r="D81" s="16">
        <f>D53</f>
        <v>0</v>
      </c>
      <c r="E81" s="16" t="s">
        <v>37</v>
      </c>
      <c r="F81" s="16"/>
      <c r="G81" s="65">
        <f t="shared" si="0"/>
        <v>0</v>
      </c>
    </row>
    <row r="82" spans="1:17" x14ac:dyDescent="0.2">
      <c r="A82" s="42" t="s">
        <v>498</v>
      </c>
      <c r="B82" s="16"/>
      <c r="C82" s="16"/>
      <c r="D82" s="91">
        <f>D75</f>
        <v>0</v>
      </c>
      <c r="E82" s="16" t="s">
        <v>37</v>
      </c>
      <c r="F82" s="16"/>
      <c r="G82" s="65">
        <f t="shared" si="0"/>
        <v>0</v>
      </c>
    </row>
    <row r="83" spans="1:17" x14ac:dyDescent="0.2">
      <c r="A83" s="16"/>
      <c r="B83" s="16"/>
      <c r="C83" s="16"/>
      <c r="D83" s="16"/>
      <c r="E83" s="16"/>
      <c r="F83" s="16"/>
      <c r="G83" s="65">
        <f>G80+G81+G82</f>
        <v>2.7417608188612427E-2</v>
      </c>
    </row>
    <row r="84" spans="1:17" x14ac:dyDescent="0.2">
      <c r="A84" s="31" t="s">
        <v>185</v>
      </c>
      <c r="B84" s="31"/>
      <c r="C84" s="31"/>
      <c r="D84" s="31">
        <f>SUM(D79:D82)</f>
        <v>69882.311401952378</v>
      </c>
      <c r="E84" s="31" t="s">
        <v>130</v>
      </c>
      <c r="F84" s="16"/>
    </row>
    <row r="85" spans="1:17" x14ac:dyDescent="0.2">
      <c r="A85" s="16"/>
      <c r="B85" s="16"/>
      <c r="C85" s="16"/>
      <c r="D85" s="16" t="s">
        <v>8</v>
      </c>
      <c r="E85" s="16"/>
      <c r="F85" s="16"/>
    </row>
    <row r="86" spans="1:17" s="94" customFormat="1" x14ac:dyDescent="0.2">
      <c r="A86" s="105" t="s">
        <v>376</v>
      </c>
      <c r="B86" s="144">
        <f>BDI!C12</f>
        <v>0.29709999999999998</v>
      </c>
      <c r="C86" s="105"/>
      <c r="D86" s="134">
        <f>D88-D84</f>
        <v>20762.034717520044</v>
      </c>
      <c r="E86" s="105" t="s">
        <v>130</v>
      </c>
      <c r="F86" s="134"/>
      <c r="G86" s="105"/>
      <c r="H86" s="44"/>
      <c r="I86" s="65"/>
      <c r="O86" s="142"/>
      <c r="Q86" s="120"/>
    </row>
    <row r="87" spans="1:17" x14ac:dyDescent="0.2">
      <c r="A87" s="16"/>
      <c r="B87" s="16"/>
      <c r="C87" s="16"/>
      <c r="D87" s="16"/>
      <c r="E87" s="16"/>
      <c r="F87" s="123"/>
      <c r="G87" s="124"/>
      <c r="H87" s="16"/>
    </row>
    <row r="88" spans="1:17" x14ac:dyDescent="0.2">
      <c r="A88" s="81" t="s">
        <v>377</v>
      </c>
      <c r="B88" s="84"/>
      <c r="C88" s="84"/>
      <c r="D88" s="31">
        <f>D84*(1+B86)</f>
        <v>90644.346119472422</v>
      </c>
      <c r="E88" s="31" t="s">
        <v>37</v>
      </c>
      <c r="F88" s="122"/>
      <c r="G88" s="121"/>
      <c r="H88" s="16"/>
      <c r="I88" s="83"/>
    </row>
    <row r="89" spans="1:17" x14ac:dyDescent="0.2">
      <c r="A89" s="82" t="s">
        <v>378</v>
      </c>
      <c r="B89" s="31"/>
      <c r="C89" s="31"/>
      <c r="D89" s="31">
        <v>32</v>
      </c>
      <c r="E89" s="31" t="s">
        <v>207</v>
      </c>
      <c r="F89" s="16"/>
    </row>
    <row r="90" spans="1:17" x14ac:dyDescent="0.2">
      <c r="A90" s="82" t="s">
        <v>379</v>
      </c>
      <c r="B90" s="31"/>
      <c r="C90" s="31"/>
      <c r="D90" s="31">
        <f>ROUND(D88/D89,2)</f>
        <v>2832.64</v>
      </c>
      <c r="E90" s="31" t="s">
        <v>86</v>
      </c>
      <c r="F90" s="11"/>
    </row>
    <row r="95" spans="1:17" x14ac:dyDescent="0.2">
      <c r="D95" s="16"/>
    </row>
    <row r="98" spans="4:4" x14ac:dyDescent="0.2">
      <c r="D98" s="89"/>
    </row>
  </sheetData>
  <mergeCells count="4">
    <mergeCell ref="A4:B4"/>
    <mergeCell ref="A1:E1"/>
    <mergeCell ref="A2:E2"/>
    <mergeCell ref="A8:E8"/>
  </mergeCells>
  <phoneticPr fontId="0" type="noConversion"/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rowBreaks count="1" manualBreakCount="1">
    <brk id="76" max="4" man="1"/>
  </rowBreaks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77"/>
  <sheetViews>
    <sheetView view="pageBreakPreview" topLeftCell="A31" zoomScaleSheetLayoutView="100" workbookViewId="0">
      <selection activeCell="A61" sqref="A61:XFD61"/>
    </sheetView>
  </sheetViews>
  <sheetFormatPr defaultColWidth="9.33203125" defaultRowHeight="12.75" x14ac:dyDescent="0.2"/>
  <cols>
    <col min="1" max="1" width="50.83203125" style="13" customWidth="1"/>
    <col min="2" max="2" width="10.83203125" style="13" customWidth="1"/>
    <col min="3" max="3" width="7.33203125" style="13" customWidth="1"/>
    <col min="4" max="4" width="14.83203125" style="13" customWidth="1"/>
    <col min="5" max="5" width="12.6640625" style="13" customWidth="1"/>
    <col min="6" max="6" width="11.33203125" style="13" customWidth="1"/>
    <col min="7" max="7" width="11.83203125" style="11" bestFit="1" customWidth="1"/>
    <col min="8" max="8" width="13.6640625" style="11" bestFit="1" customWidth="1"/>
    <col min="9" max="10" width="9.33203125" style="11"/>
    <col min="11" max="11" width="12.6640625" style="11" customWidth="1"/>
    <col min="12" max="16384" width="9.33203125" style="11"/>
  </cols>
  <sheetData>
    <row r="1" spans="1:6" ht="18.75" hidden="1" x14ac:dyDescent="0.3">
      <c r="A1" s="335" t="s">
        <v>215</v>
      </c>
      <c r="B1" s="335"/>
      <c r="C1" s="335"/>
      <c r="D1" s="335"/>
      <c r="E1" s="335"/>
      <c r="F1" s="10"/>
    </row>
    <row r="2" spans="1:6" ht="18" hidden="1" customHeight="1" x14ac:dyDescent="0.25">
      <c r="A2" s="335"/>
      <c r="B2" s="335"/>
      <c r="C2" s="335"/>
      <c r="D2" s="335"/>
      <c r="E2" s="335"/>
      <c r="F2" s="12"/>
    </row>
    <row r="3" spans="1:6" hidden="1" x14ac:dyDescent="0.2"/>
    <row r="4" spans="1:6" hidden="1" x14ac:dyDescent="0.2">
      <c r="A4" s="358"/>
      <c r="B4" s="358"/>
    </row>
    <row r="5" spans="1:6" hidden="1" x14ac:dyDescent="0.2"/>
    <row r="6" spans="1:6" hidden="1" x14ac:dyDescent="0.2">
      <c r="A6" s="14" t="s">
        <v>217</v>
      </c>
      <c r="D6" s="14" t="s">
        <v>211</v>
      </c>
    </row>
    <row r="8" spans="1:6" x14ac:dyDescent="0.2">
      <c r="A8" s="336" t="s">
        <v>0</v>
      </c>
      <c r="B8" s="336"/>
      <c r="C8" s="336"/>
      <c r="D8" s="336"/>
      <c r="E8" s="336"/>
      <c r="F8" s="68"/>
    </row>
    <row r="9" spans="1:6" x14ac:dyDescent="0.2">
      <c r="A9" s="16"/>
      <c r="B9" s="16"/>
      <c r="C9" s="16"/>
      <c r="D9" s="16"/>
      <c r="E9" s="16"/>
      <c r="F9" s="16"/>
    </row>
    <row r="10" spans="1:6" x14ac:dyDescent="0.2">
      <c r="A10" s="69" t="s">
        <v>657</v>
      </c>
      <c r="B10" s="69"/>
      <c r="C10" s="69"/>
      <c r="D10" s="18"/>
      <c r="E10" s="18"/>
      <c r="F10" s="18"/>
    </row>
    <row r="11" spans="1:6" x14ac:dyDescent="0.2">
      <c r="A11" s="16"/>
      <c r="B11" s="16"/>
      <c r="C11" s="16"/>
      <c r="D11" s="16"/>
      <c r="E11" s="16"/>
      <c r="F11" s="16"/>
    </row>
    <row r="12" spans="1:6" x14ac:dyDescent="0.2">
      <c r="A12" s="80" t="s">
        <v>34</v>
      </c>
      <c r="B12" s="78"/>
      <c r="C12" s="78"/>
      <c r="D12" s="16"/>
      <c r="E12" s="16"/>
      <c r="F12" s="16"/>
    </row>
    <row r="13" spans="1:6" x14ac:dyDescent="0.2">
      <c r="A13" s="16"/>
      <c r="B13" s="16"/>
      <c r="C13" s="16"/>
      <c r="D13" s="16"/>
      <c r="E13" s="16"/>
      <c r="F13" s="16"/>
    </row>
    <row r="14" spans="1:6" x14ac:dyDescent="0.2">
      <c r="A14" s="70" t="s">
        <v>162</v>
      </c>
      <c r="B14" s="70"/>
      <c r="C14" s="70"/>
      <c r="D14" s="16">
        <v>3</v>
      </c>
      <c r="E14" s="16" t="s">
        <v>35</v>
      </c>
      <c r="F14" s="16"/>
    </row>
    <row r="15" spans="1:6" x14ac:dyDescent="0.2">
      <c r="A15" s="70" t="s">
        <v>328</v>
      </c>
      <c r="B15" s="61"/>
      <c r="C15" s="61"/>
      <c r="D15" s="16">
        <f>VARREDOR!B34</f>
        <v>3926.9745976190479</v>
      </c>
      <c r="E15" s="61" t="s">
        <v>36</v>
      </c>
      <c r="F15" s="16"/>
    </row>
    <row r="16" spans="1:6" x14ac:dyDescent="0.2">
      <c r="A16" s="61" t="s">
        <v>466</v>
      </c>
      <c r="B16" s="61"/>
      <c r="C16" s="61"/>
      <c r="D16" s="16"/>
      <c r="E16" s="16" t="s">
        <v>37</v>
      </c>
      <c r="F16" s="16"/>
    </row>
    <row r="17" spans="1:10" x14ac:dyDescent="0.2">
      <c r="A17" s="70" t="s">
        <v>426</v>
      </c>
      <c r="B17" s="70"/>
      <c r="C17" s="70"/>
      <c r="D17" s="16">
        <f>(D15*D14)+D16</f>
        <v>11780.923792857144</v>
      </c>
      <c r="E17" s="16" t="s">
        <v>37</v>
      </c>
      <c r="F17" s="16"/>
    </row>
    <row r="18" spans="1:10" x14ac:dyDescent="0.2">
      <c r="A18" s="70"/>
      <c r="B18" s="70"/>
      <c r="C18" s="70"/>
      <c r="D18" s="16"/>
      <c r="E18" s="16"/>
      <c r="F18" s="16"/>
    </row>
    <row r="19" spans="1:10" x14ac:dyDescent="0.2">
      <c r="A19" s="61" t="s">
        <v>38</v>
      </c>
      <c r="B19" s="61"/>
      <c r="C19" s="61"/>
      <c r="D19" s="16"/>
      <c r="E19" s="16" t="s">
        <v>35</v>
      </c>
      <c r="F19" s="16"/>
    </row>
    <row r="20" spans="1:10" x14ac:dyDescent="0.2">
      <c r="A20" s="16" t="s">
        <v>310</v>
      </c>
      <c r="B20" s="16"/>
      <c r="C20" s="16"/>
      <c r="D20" s="16"/>
      <c r="E20" s="16" t="s">
        <v>36</v>
      </c>
      <c r="F20" s="16"/>
    </row>
    <row r="21" spans="1:10" x14ac:dyDescent="0.2">
      <c r="A21" s="16" t="s">
        <v>309</v>
      </c>
      <c r="B21" s="16"/>
      <c r="C21" s="16"/>
      <c r="D21" s="16">
        <f>+D20*D19</f>
        <v>0</v>
      </c>
      <c r="E21" s="16" t="s">
        <v>37</v>
      </c>
      <c r="F21" s="16"/>
    </row>
    <row r="22" spans="1:10" x14ac:dyDescent="0.2">
      <c r="A22" s="16"/>
      <c r="B22" s="16"/>
      <c r="C22" s="16"/>
      <c r="D22" s="16"/>
      <c r="E22" s="16"/>
      <c r="F22" s="16"/>
    </row>
    <row r="23" spans="1:10" hidden="1" x14ac:dyDescent="0.2">
      <c r="A23" s="61" t="s">
        <v>49</v>
      </c>
      <c r="B23" s="61"/>
      <c r="C23" s="61"/>
      <c r="D23" s="16"/>
      <c r="E23" s="16" t="s">
        <v>35</v>
      </c>
      <c r="F23" s="16"/>
      <c r="G23" s="16"/>
      <c r="J23" s="11">
        <v>3</v>
      </c>
    </row>
    <row r="24" spans="1:10" hidden="1" x14ac:dyDescent="0.2">
      <c r="A24" s="61" t="s">
        <v>50</v>
      </c>
      <c r="B24" s="61"/>
      <c r="C24" s="61"/>
      <c r="D24" s="16">
        <f>MOTORISTA!B32</f>
        <v>6484.3952558333331</v>
      </c>
      <c r="E24" s="16" t="s">
        <v>36</v>
      </c>
      <c r="F24" s="16"/>
      <c r="G24" s="16"/>
      <c r="J24" s="11">
        <f>J21*J23</f>
        <v>0</v>
      </c>
    </row>
    <row r="25" spans="1:10" hidden="1" x14ac:dyDescent="0.2">
      <c r="A25" s="70" t="s">
        <v>52</v>
      </c>
      <c r="B25" s="70"/>
      <c r="C25" s="70"/>
      <c r="D25" s="16">
        <f>D23*D24</f>
        <v>0</v>
      </c>
      <c r="E25" s="16" t="s">
        <v>43</v>
      </c>
      <c r="F25" s="16"/>
      <c r="G25" s="16"/>
    </row>
    <row r="26" spans="1:10" hidden="1" x14ac:dyDescent="0.2">
      <c r="A26" s="70"/>
      <c r="B26" s="70"/>
      <c r="C26" s="70"/>
      <c r="D26" s="16"/>
      <c r="E26" s="16"/>
      <c r="F26" s="16"/>
      <c r="G26" s="16"/>
    </row>
    <row r="27" spans="1:10" x14ac:dyDescent="0.2">
      <c r="A27" s="31" t="s">
        <v>191</v>
      </c>
      <c r="B27" s="31"/>
      <c r="C27" s="31"/>
      <c r="D27" s="31">
        <f>D17+D21+D25</f>
        <v>11780.923792857144</v>
      </c>
      <c r="E27" s="31" t="s">
        <v>130</v>
      </c>
      <c r="F27" s="16"/>
    </row>
    <row r="28" spans="1:10" x14ac:dyDescent="0.2">
      <c r="A28" s="16"/>
      <c r="B28" s="16"/>
      <c r="C28" s="16"/>
      <c r="D28" s="16"/>
      <c r="E28" s="16"/>
      <c r="F28" s="16"/>
    </row>
    <row r="29" spans="1:10" x14ac:dyDescent="0.2">
      <c r="A29" s="71" t="s">
        <v>89</v>
      </c>
      <c r="B29" s="72"/>
      <c r="C29" s="72"/>
      <c r="D29" s="76"/>
      <c r="E29" s="16"/>
      <c r="F29" s="16"/>
    </row>
    <row r="30" spans="1:10" x14ac:dyDescent="0.2">
      <c r="A30" s="75"/>
      <c r="B30" s="75"/>
      <c r="C30" s="75"/>
      <c r="D30" s="76"/>
      <c r="E30" s="16"/>
      <c r="G30" s="16"/>
      <c r="H30" s="92"/>
    </row>
    <row r="31" spans="1:10" x14ac:dyDescent="0.2">
      <c r="A31" s="22" t="s">
        <v>112</v>
      </c>
      <c r="B31" s="181"/>
      <c r="C31" s="74" t="s">
        <v>113</v>
      </c>
      <c r="D31" s="16"/>
      <c r="E31" s="16" t="s">
        <v>37</v>
      </c>
      <c r="G31" s="16"/>
    </row>
    <row r="32" spans="1:10" x14ac:dyDescent="0.2">
      <c r="A32" s="16" t="s">
        <v>115</v>
      </c>
      <c r="B32" s="181"/>
      <c r="C32" s="74" t="s">
        <v>113</v>
      </c>
      <c r="D32" s="16"/>
      <c r="E32" s="16" t="s">
        <v>37</v>
      </c>
      <c r="G32" s="16"/>
    </row>
    <row r="33" spans="1:7" x14ac:dyDescent="0.2">
      <c r="A33" s="16" t="s">
        <v>116</v>
      </c>
      <c r="B33" s="182"/>
      <c r="C33" s="74" t="s">
        <v>113</v>
      </c>
      <c r="D33" s="16"/>
      <c r="E33" s="16" t="s">
        <v>37</v>
      </c>
      <c r="G33" s="16"/>
    </row>
    <row r="34" spans="1:7" x14ac:dyDescent="0.2">
      <c r="A34" s="16" t="s">
        <v>117</v>
      </c>
      <c r="B34" s="182"/>
      <c r="C34" s="74" t="s">
        <v>113</v>
      </c>
      <c r="D34" s="16"/>
      <c r="E34" s="16" t="s">
        <v>37</v>
      </c>
      <c r="G34" s="16"/>
    </row>
    <row r="35" spans="1:7" x14ac:dyDescent="0.2">
      <c r="A35" s="16" t="s">
        <v>118</v>
      </c>
      <c r="B35" s="182"/>
      <c r="C35" s="74" t="s">
        <v>113</v>
      </c>
      <c r="D35" s="16"/>
      <c r="E35" s="16" t="s">
        <v>37</v>
      </c>
      <c r="G35" s="16"/>
    </row>
    <row r="36" spans="1:7" x14ac:dyDescent="0.2">
      <c r="A36" s="16" t="s">
        <v>119</v>
      </c>
      <c r="B36" s="182"/>
      <c r="C36" s="74" t="s">
        <v>113</v>
      </c>
      <c r="D36" s="16"/>
      <c r="E36" s="16" t="s">
        <v>37</v>
      </c>
      <c r="G36" s="16"/>
    </row>
    <row r="37" spans="1:7" x14ac:dyDescent="0.2">
      <c r="A37" s="16" t="s">
        <v>120</v>
      </c>
      <c r="B37" s="182"/>
      <c r="C37" s="74" t="s">
        <v>113</v>
      </c>
      <c r="D37" s="16"/>
      <c r="E37" s="16" t="s">
        <v>37</v>
      </c>
      <c r="G37" s="16"/>
    </row>
    <row r="38" spans="1:7" x14ac:dyDescent="0.2">
      <c r="A38" s="16" t="s">
        <v>104</v>
      </c>
      <c r="B38" s="182"/>
      <c r="C38" s="74" t="s">
        <v>113</v>
      </c>
      <c r="D38" s="16"/>
      <c r="E38" s="16" t="s">
        <v>37</v>
      </c>
      <c r="G38" s="16"/>
    </row>
    <row r="39" spans="1:7" x14ac:dyDescent="0.2">
      <c r="A39" s="16" t="s">
        <v>121</v>
      </c>
      <c r="B39" s="182"/>
      <c r="C39" s="74" t="s">
        <v>113</v>
      </c>
      <c r="D39" s="16"/>
      <c r="E39" s="16" t="s">
        <v>37</v>
      </c>
      <c r="G39" s="16"/>
    </row>
    <row r="40" spans="1:7" x14ac:dyDescent="0.2">
      <c r="A40" s="16" t="s">
        <v>122</v>
      </c>
      <c r="B40" s="182"/>
      <c r="C40" s="74" t="s">
        <v>113</v>
      </c>
      <c r="D40" s="16"/>
      <c r="E40" s="16" t="s">
        <v>37</v>
      </c>
      <c r="G40" s="16"/>
    </row>
    <row r="41" spans="1:7" x14ac:dyDescent="0.2">
      <c r="A41" s="16" t="s">
        <v>123</v>
      </c>
      <c r="B41" s="182">
        <v>3</v>
      </c>
      <c r="C41" s="74" t="s">
        <v>113</v>
      </c>
      <c r="D41" s="16">
        <f>B41*Planilha2!U10</f>
        <v>18.135000000000002</v>
      </c>
      <c r="E41" s="16" t="s">
        <v>37</v>
      </c>
      <c r="G41" s="16"/>
    </row>
    <row r="42" spans="1:7" x14ac:dyDescent="0.2">
      <c r="A42" s="16" t="s">
        <v>103</v>
      </c>
      <c r="B42" s="182">
        <v>3</v>
      </c>
      <c r="C42" s="74" t="s">
        <v>113</v>
      </c>
      <c r="D42" s="16">
        <f>B42*Planilha2!U11</f>
        <v>14.974999999999998</v>
      </c>
      <c r="E42" s="16" t="s">
        <v>37</v>
      </c>
      <c r="G42" s="16"/>
    </row>
    <row r="43" spans="1:7" x14ac:dyDescent="0.2">
      <c r="A43" s="16" t="s">
        <v>124</v>
      </c>
      <c r="B43" s="182">
        <v>1900</v>
      </c>
      <c r="C43" s="86" t="s">
        <v>114</v>
      </c>
      <c r="D43" s="16">
        <f>B43*Planilha2!U18</f>
        <v>5446.8249999999998</v>
      </c>
      <c r="E43" s="16" t="s">
        <v>37</v>
      </c>
      <c r="G43" s="16"/>
    </row>
    <row r="44" spans="1:7" x14ac:dyDescent="0.2">
      <c r="A44" s="42" t="s">
        <v>472</v>
      </c>
      <c r="B44" s="179">
        <f>(D14+D19)*2*26</f>
        <v>156</v>
      </c>
      <c r="C44" s="107" t="s">
        <v>473</v>
      </c>
      <c r="D44" s="42">
        <f>B44*Planilha2!R27</f>
        <v>99.84</v>
      </c>
      <c r="E44" s="42" t="s">
        <v>43</v>
      </c>
      <c r="G44" s="16"/>
    </row>
    <row r="45" spans="1:7" x14ac:dyDescent="0.2">
      <c r="A45" s="16"/>
      <c r="B45" s="16"/>
      <c r="C45" s="16"/>
      <c r="D45" s="16"/>
      <c r="E45" s="16"/>
      <c r="G45" s="16"/>
    </row>
    <row r="46" spans="1:7" x14ac:dyDescent="0.2">
      <c r="A46" s="31" t="s">
        <v>183</v>
      </c>
      <c r="B46" s="31"/>
      <c r="C46" s="31"/>
      <c r="D46" s="31">
        <f>SUM(D31:D44)</f>
        <v>5579.7749999999996</v>
      </c>
      <c r="E46" s="31" t="s">
        <v>130</v>
      </c>
      <c r="G46" s="16"/>
    </row>
    <row r="47" spans="1:7" x14ac:dyDescent="0.2">
      <c r="A47" s="16"/>
      <c r="B47" s="16"/>
      <c r="C47" s="16"/>
      <c r="D47" s="16"/>
      <c r="E47" s="16"/>
      <c r="G47" s="16"/>
    </row>
    <row r="48" spans="1:7" hidden="1" x14ac:dyDescent="0.2">
      <c r="A48" s="71" t="s">
        <v>292</v>
      </c>
      <c r="B48" s="72"/>
      <c r="C48" s="72"/>
      <c r="D48" s="16"/>
      <c r="E48" s="16"/>
      <c r="F48" s="16"/>
      <c r="G48" s="16"/>
    </row>
    <row r="49" spans="1:8" hidden="1" x14ac:dyDescent="0.2">
      <c r="A49" s="16"/>
      <c r="B49" s="16"/>
      <c r="C49" s="16"/>
      <c r="D49" s="16"/>
      <c r="E49" s="16"/>
      <c r="F49" s="16"/>
      <c r="G49" s="16"/>
    </row>
    <row r="50" spans="1:8" hidden="1" x14ac:dyDescent="0.2">
      <c r="A50" s="70" t="s">
        <v>290</v>
      </c>
      <c r="B50" s="70"/>
      <c r="C50" s="70"/>
      <c r="D50" s="16"/>
      <c r="E50" s="16" t="s">
        <v>35</v>
      </c>
      <c r="F50" s="16"/>
      <c r="G50" s="16"/>
    </row>
    <row r="51" spans="1:8" hidden="1" x14ac:dyDescent="0.2">
      <c r="A51" s="16" t="s">
        <v>53</v>
      </c>
      <c r="B51" s="16"/>
      <c r="C51" s="16"/>
      <c r="D51" s="16">
        <f>'BASCULANTE 6'!B62</f>
        <v>10286.729909122527</v>
      </c>
      <c r="E51" s="16" t="s">
        <v>36</v>
      </c>
      <c r="F51" s="16"/>
      <c r="G51" s="16"/>
    </row>
    <row r="52" spans="1:8" hidden="1" x14ac:dyDescent="0.2">
      <c r="A52" s="61" t="s">
        <v>54</v>
      </c>
      <c r="B52" s="61"/>
      <c r="C52" s="61"/>
      <c r="D52" s="16">
        <f>+D51*D50</f>
        <v>0</v>
      </c>
      <c r="E52" s="16" t="s">
        <v>37</v>
      </c>
      <c r="F52" s="16"/>
      <c r="G52" s="16"/>
    </row>
    <row r="53" spans="1:8" hidden="1" x14ac:dyDescent="0.2">
      <c r="A53" s="70"/>
      <c r="B53" s="70"/>
      <c r="C53" s="70"/>
      <c r="D53" s="16"/>
      <c r="E53" s="16"/>
      <c r="F53" s="16"/>
      <c r="G53" s="16"/>
    </row>
    <row r="54" spans="1:8" hidden="1" x14ac:dyDescent="0.2">
      <c r="A54" s="93" t="s">
        <v>291</v>
      </c>
      <c r="B54" s="93"/>
      <c r="C54" s="93"/>
      <c r="D54" s="31">
        <f>D52</f>
        <v>0</v>
      </c>
      <c r="E54" s="31" t="s">
        <v>130</v>
      </c>
      <c r="F54" s="16"/>
      <c r="G54" s="16"/>
    </row>
    <row r="55" spans="1:8" hidden="1" x14ac:dyDescent="0.2">
      <c r="A55" s="69"/>
      <c r="B55" s="69"/>
      <c r="C55" s="69"/>
      <c r="D55" s="18"/>
      <c r="E55" s="18"/>
      <c r="F55" s="16"/>
      <c r="G55" s="16"/>
    </row>
    <row r="56" spans="1:8" x14ac:dyDescent="0.2">
      <c r="A56" s="80" t="s">
        <v>44</v>
      </c>
      <c r="B56" s="78"/>
      <c r="C56" s="78"/>
      <c r="D56" s="16"/>
      <c r="E56" s="16"/>
      <c r="G56" s="16"/>
    </row>
    <row r="57" spans="1:8" x14ac:dyDescent="0.2">
      <c r="A57" s="78"/>
      <c r="B57" s="78"/>
      <c r="C57" s="78"/>
      <c r="D57" s="16"/>
      <c r="E57" s="16"/>
      <c r="G57" s="16"/>
    </row>
    <row r="58" spans="1:8" x14ac:dyDescent="0.2">
      <c r="A58" s="16" t="s">
        <v>68</v>
      </c>
      <c r="B58" s="16"/>
      <c r="C58" s="16"/>
      <c r="D58" s="16">
        <f>D27</f>
        <v>11780.923792857144</v>
      </c>
      <c r="E58" s="16" t="s">
        <v>37</v>
      </c>
      <c r="F58" s="65">
        <f>D58/$D$63</f>
        <v>0.67859732683711249</v>
      </c>
      <c r="G58" s="59"/>
    </row>
    <row r="59" spans="1:8" x14ac:dyDescent="0.2">
      <c r="A59" s="16" t="s">
        <v>67</v>
      </c>
      <c r="B59" s="16"/>
      <c r="C59" s="16"/>
      <c r="D59" s="16">
        <f>D46</f>
        <v>5579.7749999999996</v>
      </c>
      <c r="E59" s="16" t="s">
        <v>37</v>
      </c>
      <c r="F59" s="65">
        <f t="shared" ref="F59:F60" si="0">D59/$D$63</f>
        <v>0.32140267316288745</v>
      </c>
      <c r="G59" s="59"/>
    </row>
    <row r="60" spans="1:8" x14ac:dyDescent="0.2">
      <c r="A60" s="16" t="s">
        <v>58</v>
      </c>
      <c r="B60" s="16"/>
      <c r="C60" s="16"/>
      <c r="D60" s="16">
        <f>D54</f>
        <v>0</v>
      </c>
      <c r="E60" s="16" t="s">
        <v>37</v>
      </c>
      <c r="F60" s="65">
        <f t="shared" si="0"/>
        <v>0</v>
      </c>
      <c r="G60" s="59"/>
      <c r="H60" s="59"/>
    </row>
    <row r="61" spans="1:8" hidden="1" x14ac:dyDescent="0.2">
      <c r="A61" s="16"/>
      <c r="B61" s="170"/>
      <c r="C61" s="16"/>
      <c r="D61" s="16"/>
      <c r="E61" s="16"/>
      <c r="F61" s="65"/>
      <c r="G61" s="59"/>
    </row>
    <row r="62" spans="1:8" x14ac:dyDescent="0.2">
      <c r="A62" s="16"/>
      <c r="B62" s="16"/>
      <c r="C62" s="16"/>
      <c r="D62" s="16"/>
      <c r="E62" s="16"/>
      <c r="F62" s="65">
        <f>F59+F60+F61</f>
        <v>0.32140267316288745</v>
      </c>
    </row>
    <row r="63" spans="1:8" x14ac:dyDescent="0.2">
      <c r="A63" s="31" t="s">
        <v>185</v>
      </c>
      <c r="B63" s="31"/>
      <c r="C63" s="31"/>
      <c r="D63" s="31">
        <f>SUM(D58:D61)</f>
        <v>17360.698792857143</v>
      </c>
      <c r="E63" s="31" t="s">
        <v>130</v>
      </c>
      <c r="F63" s="16"/>
      <c r="G63" s="11">
        <f>ROUND(D63/D68,2)</f>
        <v>542.52</v>
      </c>
    </row>
    <row r="64" spans="1:8" x14ac:dyDescent="0.2">
      <c r="A64" s="16"/>
      <c r="B64" s="16"/>
      <c r="C64" s="16"/>
      <c r="D64" s="16" t="s">
        <v>8</v>
      </c>
      <c r="E64" s="16"/>
      <c r="F64" s="16"/>
    </row>
    <row r="65" spans="1:17" s="94" customFormat="1" x14ac:dyDescent="0.2">
      <c r="A65" s="105" t="s">
        <v>380</v>
      </c>
      <c r="B65" s="144">
        <f>BDI!C12</f>
        <v>0.29709999999999998</v>
      </c>
      <c r="C65" s="105"/>
      <c r="D65" s="134">
        <f>D67-D63</f>
        <v>5157.8636113578541</v>
      </c>
      <c r="E65" s="105" t="s">
        <v>130</v>
      </c>
      <c r="F65" s="134"/>
      <c r="G65" s="105"/>
      <c r="H65" s="38"/>
      <c r="I65" s="65"/>
      <c r="O65" s="142"/>
      <c r="Q65" s="120"/>
    </row>
    <row r="66" spans="1:17" x14ac:dyDescent="0.2">
      <c r="A66" s="16"/>
      <c r="B66" s="16"/>
      <c r="C66" s="16"/>
      <c r="D66" s="16"/>
      <c r="E66" s="16"/>
      <c r="F66" s="123"/>
      <c r="G66" s="124"/>
      <c r="H66" s="16"/>
    </row>
    <row r="67" spans="1:17" x14ac:dyDescent="0.2">
      <c r="A67" s="81" t="s">
        <v>348</v>
      </c>
      <c r="B67" s="84"/>
      <c r="C67" s="84"/>
      <c r="D67" s="31">
        <f>(D63*(1+B65))</f>
        <v>22518.562404214998</v>
      </c>
      <c r="E67" s="31" t="s">
        <v>37</v>
      </c>
      <c r="F67" s="122"/>
      <c r="G67" s="121"/>
      <c r="H67" s="16"/>
      <c r="I67" s="83"/>
    </row>
    <row r="68" spans="1:17" x14ac:dyDescent="0.2">
      <c r="A68" s="82" t="s">
        <v>349</v>
      </c>
      <c r="B68" s="31"/>
      <c r="C68" s="31"/>
      <c r="D68" s="31">
        <f>CAPINAÇÃO!D89</f>
        <v>32</v>
      </c>
      <c r="E68" s="31" t="s">
        <v>207</v>
      </c>
      <c r="F68" s="16"/>
    </row>
    <row r="69" spans="1:17" x14ac:dyDescent="0.2">
      <c r="A69" s="82" t="s">
        <v>350</v>
      </c>
      <c r="B69" s="31"/>
      <c r="C69" s="31"/>
      <c r="D69" s="31">
        <f>ROUND(D67/D68,2)</f>
        <v>703.71</v>
      </c>
      <c r="E69" s="31" t="s">
        <v>86</v>
      </c>
      <c r="F69" s="11"/>
    </row>
    <row r="74" spans="1:17" x14ac:dyDescent="0.2">
      <c r="D74" s="16"/>
    </row>
    <row r="77" spans="1:17" x14ac:dyDescent="0.2">
      <c r="D77" s="89"/>
    </row>
  </sheetData>
  <mergeCells count="4">
    <mergeCell ref="A1:E1"/>
    <mergeCell ref="A2:E2"/>
    <mergeCell ref="A4:B4"/>
    <mergeCell ref="A8:E8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colBreaks count="1" manualBreakCount="1">
    <brk id="5" max="1048575" man="1"/>
  </colBreaks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96"/>
  <sheetViews>
    <sheetView view="pageBreakPreview" topLeftCell="A31" zoomScaleSheetLayoutView="100" workbookViewId="0">
      <selection activeCell="F77" sqref="F77:F79"/>
    </sheetView>
  </sheetViews>
  <sheetFormatPr defaultColWidth="12" defaultRowHeight="12.75" x14ac:dyDescent="0.2"/>
  <cols>
    <col min="1" max="1" width="50.83203125" style="13" customWidth="1"/>
    <col min="2" max="2" width="10.83203125" style="13" customWidth="1"/>
    <col min="3" max="3" width="6" style="13" customWidth="1"/>
    <col min="4" max="4" width="14.83203125" style="13" customWidth="1"/>
    <col min="5" max="5" width="15.83203125" style="13" customWidth="1"/>
    <col min="6" max="6" width="15.33203125" style="13" customWidth="1"/>
    <col min="7" max="7" width="13.83203125" style="13" customWidth="1"/>
    <col min="8" max="16384" width="12" style="11"/>
  </cols>
  <sheetData>
    <row r="1" spans="1:7" hidden="1" x14ac:dyDescent="0.2">
      <c r="A1" s="358" t="s">
        <v>215</v>
      </c>
      <c r="B1" s="358"/>
      <c r="C1" s="358"/>
      <c r="D1" s="358"/>
      <c r="E1" s="358"/>
      <c r="F1" s="12"/>
      <c r="G1" s="11"/>
    </row>
    <row r="2" spans="1:7" ht="18" hidden="1" customHeight="1" x14ac:dyDescent="0.2">
      <c r="A2" s="358"/>
      <c r="B2" s="358"/>
      <c r="C2" s="358"/>
      <c r="D2" s="358"/>
      <c r="E2" s="358"/>
      <c r="F2" s="12"/>
      <c r="G2" s="11"/>
    </row>
    <row r="3" spans="1:7" hidden="1" x14ac:dyDescent="0.2">
      <c r="G3" s="11"/>
    </row>
    <row r="4" spans="1:7" hidden="1" x14ac:dyDescent="0.2">
      <c r="G4" s="11"/>
    </row>
    <row r="5" spans="1:7" hidden="1" x14ac:dyDescent="0.2">
      <c r="A5" s="14" t="s">
        <v>217</v>
      </c>
      <c r="D5" s="14" t="s">
        <v>211</v>
      </c>
      <c r="G5" s="11"/>
    </row>
    <row r="6" spans="1:7" x14ac:dyDescent="0.2">
      <c r="G6" s="11"/>
    </row>
    <row r="7" spans="1:7" x14ac:dyDescent="0.2">
      <c r="A7" s="336" t="s">
        <v>0</v>
      </c>
      <c r="B7" s="336"/>
      <c r="C7" s="336"/>
      <c r="D7" s="336"/>
      <c r="E7" s="336"/>
      <c r="F7" s="68"/>
      <c r="G7" s="11"/>
    </row>
    <row r="8" spans="1:7" x14ac:dyDescent="0.2">
      <c r="A8" s="16"/>
      <c r="B8" s="16"/>
      <c r="C8" s="16"/>
      <c r="D8" s="16"/>
      <c r="E8" s="16"/>
      <c r="F8" s="16"/>
      <c r="G8" s="16"/>
    </row>
    <row r="9" spans="1:7" x14ac:dyDescent="0.2">
      <c r="A9" s="69" t="s">
        <v>658</v>
      </c>
      <c r="B9" s="69"/>
      <c r="C9" s="69"/>
      <c r="D9" s="18"/>
      <c r="E9" s="18"/>
      <c r="F9" s="18"/>
      <c r="G9" s="18"/>
    </row>
    <row r="10" spans="1:7" x14ac:dyDescent="0.2">
      <c r="A10" s="16"/>
      <c r="B10" s="16"/>
      <c r="C10" s="16"/>
      <c r="D10" s="16"/>
      <c r="E10" s="16"/>
      <c r="F10" s="16"/>
      <c r="G10" s="16"/>
    </row>
    <row r="11" spans="1:7" x14ac:dyDescent="0.2">
      <c r="A11" s="80" t="s">
        <v>34</v>
      </c>
      <c r="B11" s="78"/>
      <c r="C11" s="78"/>
      <c r="D11" s="16"/>
      <c r="E11" s="16"/>
      <c r="F11" s="18"/>
      <c r="G11" s="16"/>
    </row>
    <row r="12" spans="1:7" x14ac:dyDescent="0.2">
      <c r="A12" s="16"/>
      <c r="B12" s="16"/>
      <c r="C12" s="16"/>
      <c r="D12" s="16"/>
      <c r="E12" s="16"/>
      <c r="F12" s="16"/>
      <c r="G12" s="16"/>
    </row>
    <row r="13" spans="1:7" x14ac:dyDescent="0.2">
      <c r="A13" s="70" t="s">
        <v>456</v>
      </c>
      <c r="B13" s="70"/>
      <c r="C13" s="70"/>
      <c r="D13" s="16">
        <v>30</v>
      </c>
      <c r="E13" s="16" t="s">
        <v>35</v>
      </c>
      <c r="F13" s="16"/>
      <c r="G13" s="16"/>
    </row>
    <row r="14" spans="1:7" x14ac:dyDescent="0.2">
      <c r="A14" s="70" t="s">
        <v>317</v>
      </c>
      <c r="B14" s="61"/>
      <c r="C14" s="61"/>
      <c r="D14" s="16">
        <f>+COLETOR!B32</f>
        <v>4484.9060142857152</v>
      </c>
      <c r="E14" s="61" t="s">
        <v>36</v>
      </c>
      <c r="F14" s="16"/>
      <c r="G14" s="16"/>
    </row>
    <row r="15" spans="1:7" x14ac:dyDescent="0.2">
      <c r="A15" s="61" t="s">
        <v>461</v>
      </c>
      <c r="B15" s="61"/>
      <c r="C15" s="61"/>
      <c r="D15" s="16"/>
      <c r="E15" s="70" t="s">
        <v>37</v>
      </c>
      <c r="F15" s="16"/>
      <c r="G15" s="11"/>
    </row>
    <row r="16" spans="1:7" x14ac:dyDescent="0.2">
      <c r="A16" s="70" t="s">
        <v>42</v>
      </c>
      <c r="B16" s="70"/>
      <c r="C16" s="70"/>
      <c r="D16" s="16">
        <f>(D13*D14)+D15</f>
        <v>134547.18042857145</v>
      </c>
      <c r="E16" s="16" t="s">
        <v>37</v>
      </c>
      <c r="F16" s="16"/>
      <c r="G16" s="16"/>
    </row>
    <row r="17" spans="1:7" x14ac:dyDescent="0.2">
      <c r="A17" s="70"/>
      <c r="B17" s="70"/>
      <c r="C17" s="70"/>
      <c r="D17" s="16"/>
      <c r="E17" s="16"/>
      <c r="F17" s="16"/>
      <c r="G17" s="16"/>
    </row>
    <row r="18" spans="1:7" x14ac:dyDescent="0.2">
      <c r="A18" s="61" t="s">
        <v>38</v>
      </c>
      <c r="B18" s="61"/>
      <c r="C18" s="61"/>
      <c r="D18" s="16">
        <v>2</v>
      </c>
      <c r="E18" s="16" t="s">
        <v>35</v>
      </c>
      <c r="F18" s="16"/>
      <c r="G18" s="16"/>
    </row>
    <row r="19" spans="1:7" x14ac:dyDescent="0.2">
      <c r="A19" s="16" t="s">
        <v>310</v>
      </c>
      <c r="B19" s="16"/>
      <c r="C19" s="16"/>
      <c r="D19" s="16">
        <f>'ENC I'!B32</f>
        <v>9061.6866043333339</v>
      </c>
      <c r="E19" s="16" t="s">
        <v>36</v>
      </c>
      <c r="F19" s="16"/>
      <c r="G19" s="16"/>
    </row>
    <row r="20" spans="1:7" x14ac:dyDescent="0.2">
      <c r="A20" s="61" t="s">
        <v>461</v>
      </c>
      <c r="B20" s="61"/>
      <c r="C20" s="61"/>
      <c r="D20" s="16"/>
      <c r="E20" s="70" t="s">
        <v>37</v>
      </c>
      <c r="F20" s="16"/>
      <c r="G20" s="11"/>
    </row>
    <row r="21" spans="1:7" x14ac:dyDescent="0.2">
      <c r="A21" s="16" t="s">
        <v>48</v>
      </c>
      <c r="B21" s="16"/>
      <c r="C21" s="16"/>
      <c r="D21" s="16">
        <f>(D18*D19)+D20</f>
        <v>18123.373208666668</v>
      </c>
      <c r="E21" s="16" t="s">
        <v>43</v>
      </c>
      <c r="F21" s="16"/>
      <c r="G21" s="16"/>
    </row>
    <row r="22" spans="1:7" x14ac:dyDescent="0.2">
      <c r="A22" s="16"/>
      <c r="B22" s="16"/>
      <c r="C22" s="16"/>
      <c r="D22" s="16"/>
      <c r="E22" s="16"/>
      <c r="F22" s="16"/>
      <c r="G22" s="16"/>
    </row>
    <row r="23" spans="1:7" x14ac:dyDescent="0.2">
      <c r="A23" s="70"/>
      <c r="B23" s="70"/>
      <c r="C23" s="70"/>
      <c r="D23" s="16"/>
      <c r="E23" s="16"/>
      <c r="F23" s="16"/>
      <c r="G23" s="16"/>
    </row>
    <row r="24" spans="1:7" x14ac:dyDescent="0.2">
      <c r="A24" s="93" t="s">
        <v>196</v>
      </c>
      <c r="B24" s="93"/>
      <c r="C24" s="93"/>
      <c r="D24" s="31">
        <f>D16+D21</f>
        <v>152670.5536372381</v>
      </c>
      <c r="E24" s="31" t="s">
        <v>130</v>
      </c>
      <c r="F24" s="16"/>
      <c r="G24" s="16"/>
    </row>
    <row r="25" spans="1:7" x14ac:dyDescent="0.2">
      <c r="A25" s="70"/>
      <c r="B25" s="70"/>
      <c r="C25" s="70"/>
      <c r="D25" s="16"/>
      <c r="E25" s="16"/>
      <c r="F25" s="16"/>
      <c r="G25" s="16"/>
    </row>
    <row r="26" spans="1:7" x14ac:dyDescent="0.2">
      <c r="A26" s="71" t="s">
        <v>519</v>
      </c>
      <c r="B26" s="72"/>
      <c r="C26" s="72"/>
      <c r="D26" s="76"/>
      <c r="E26" s="16"/>
      <c r="F26" s="16"/>
      <c r="G26" s="11"/>
    </row>
    <row r="27" spans="1:7" x14ac:dyDescent="0.2">
      <c r="A27" s="75"/>
      <c r="B27" s="75"/>
      <c r="C27" s="75"/>
      <c r="D27" s="76"/>
      <c r="E27" s="16"/>
      <c r="F27" s="16"/>
      <c r="G27" s="11"/>
    </row>
    <row r="28" spans="1:7" x14ac:dyDescent="0.2">
      <c r="A28" s="22" t="s">
        <v>112</v>
      </c>
      <c r="B28" s="181">
        <v>16</v>
      </c>
      <c r="C28" s="92" t="s">
        <v>113</v>
      </c>
      <c r="D28" s="16">
        <f>B28*Planilha2!U4</f>
        <v>217.84000000000003</v>
      </c>
      <c r="E28" s="16" t="s">
        <v>37</v>
      </c>
      <c r="F28" s="77"/>
      <c r="G28" s="16"/>
    </row>
    <row r="29" spans="1:7" x14ac:dyDescent="0.2">
      <c r="A29" s="16" t="s">
        <v>115</v>
      </c>
      <c r="B29" s="181">
        <v>10</v>
      </c>
      <c r="C29" s="92" t="s">
        <v>113</v>
      </c>
      <c r="D29" s="16">
        <f>B29*Planilha2!U3</f>
        <v>154.66666666666666</v>
      </c>
      <c r="E29" s="16" t="s">
        <v>37</v>
      </c>
      <c r="F29" s="77"/>
      <c r="G29" s="16"/>
    </row>
    <row r="30" spans="1:7" x14ac:dyDescent="0.2">
      <c r="A30" s="16" t="s">
        <v>116</v>
      </c>
      <c r="B30" s="181">
        <v>6</v>
      </c>
      <c r="C30" s="92" t="s">
        <v>113</v>
      </c>
      <c r="D30" s="16">
        <f>B30*Planilha2!U6</f>
        <v>203.14</v>
      </c>
      <c r="E30" s="16" t="s">
        <v>37</v>
      </c>
      <c r="F30" s="73"/>
      <c r="G30" s="16"/>
    </row>
    <row r="31" spans="1:7" x14ac:dyDescent="0.2">
      <c r="A31" s="16" t="s">
        <v>117</v>
      </c>
      <c r="B31" s="181">
        <v>8</v>
      </c>
      <c r="C31" s="92" t="s">
        <v>113</v>
      </c>
      <c r="D31" s="16">
        <f>B31*Planilha2!U5</f>
        <v>349.06666666666666</v>
      </c>
      <c r="E31" s="16" t="s">
        <v>37</v>
      </c>
      <c r="F31" s="73"/>
      <c r="G31" s="16"/>
    </row>
    <row r="32" spans="1:7" x14ac:dyDescent="0.2">
      <c r="A32" s="16" t="s">
        <v>118</v>
      </c>
      <c r="B32" s="181">
        <v>18</v>
      </c>
      <c r="C32" s="92" t="s">
        <v>113</v>
      </c>
      <c r="D32" s="16">
        <f>B32*Planilha2!U7</f>
        <v>465.57</v>
      </c>
      <c r="E32" s="16" t="s">
        <v>37</v>
      </c>
      <c r="F32" s="73"/>
      <c r="G32" s="16"/>
    </row>
    <row r="33" spans="1:7" x14ac:dyDescent="0.2">
      <c r="A33" s="16" t="s">
        <v>119</v>
      </c>
      <c r="B33" s="181">
        <v>8</v>
      </c>
      <c r="C33" s="92" t="s">
        <v>113</v>
      </c>
      <c r="D33" s="16">
        <f>B33*Planilha2!U8</f>
        <v>245.7533333333333</v>
      </c>
      <c r="E33" s="16" t="s">
        <v>37</v>
      </c>
      <c r="F33" s="73"/>
      <c r="G33" s="16"/>
    </row>
    <row r="34" spans="1:7" x14ac:dyDescent="0.2">
      <c r="A34" s="16" t="s">
        <v>102</v>
      </c>
      <c r="B34" s="181">
        <v>20</v>
      </c>
      <c r="C34" s="92" t="s">
        <v>113</v>
      </c>
      <c r="D34" s="16">
        <f>B34*Planilha2!U10</f>
        <v>120.90000000000002</v>
      </c>
      <c r="E34" s="16" t="s">
        <v>37</v>
      </c>
      <c r="F34" s="73"/>
      <c r="G34" s="16"/>
    </row>
    <row r="35" spans="1:7" x14ac:dyDescent="0.2">
      <c r="A35" s="16" t="s">
        <v>122</v>
      </c>
      <c r="B35" s="181">
        <v>4</v>
      </c>
      <c r="C35" s="92" t="s">
        <v>113</v>
      </c>
      <c r="D35" s="16">
        <f>B35*Planilha2!U15</f>
        <v>15.049166666666666</v>
      </c>
      <c r="E35" s="16" t="s">
        <v>37</v>
      </c>
      <c r="F35" s="73"/>
      <c r="G35" s="16"/>
    </row>
    <row r="36" spans="1:7" x14ac:dyDescent="0.2">
      <c r="A36" s="16" t="s">
        <v>121</v>
      </c>
      <c r="B36" s="181">
        <v>4</v>
      </c>
      <c r="C36" s="92" t="s">
        <v>113</v>
      </c>
      <c r="D36" s="16">
        <f>B36*Planilha2!U14</f>
        <v>79.333333333333329</v>
      </c>
      <c r="E36" s="16" t="s">
        <v>37</v>
      </c>
      <c r="F36" s="73"/>
      <c r="G36" s="16"/>
    </row>
    <row r="37" spans="1:7" x14ac:dyDescent="0.2">
      <c r="A37" s="16" t="s">
        <v>128</v>
      </c>
      <c r="B37" s="181">
        <v>4</v>
      </c>
      <c r="C37" s="92" t="s">
        <v>113</v>
      </c>
      <c r="D37" s="16">
        <f>B37*Planilha2!U11</f>
        <v>19.966666666666665</v>
      </c>
      <c r="E37" s="16" t="s">
        <v>37</v>
      </c>
      <c r="F37" s="16"/>
    </row>
    <row r="38" spans="1:7" x14ac:dyDescent="0.2">
      <c r="A38" s="16" t="s">
        <v>129</v>
      </c>
      <c r="B38" s="182">
        <v>750</v>
      </c>
      <c r="C38" s="86" t="s">
        <v>127</v>
      </c>
      <c r="D38" s="16">
        <f>B38*Planilha2!U18</f>
        <v>2150.0625</v>
      </c>
      <c r="E38" s="16" t="s">
        <v>37</v>
      </c>
      <c r="F38" s="73"/>
      <c r="G38" s="16"/>
    </row>
    <row r="39" spans="1:7" hidden="1" x14ac:dyDescent="0.2">
      <c r="A39" s="16" t="s">
        <v>289</v>
      </c>
      <c r="B39" s="181"/>
      <c r="C39" s="92" t="s">
        <v>113</v>
      </c>
      <c r="D39" s="16"/>
      <c r="E39" s="16" t="s">
        <v>37</v>
      </c>
      <c r="F39" s="73"/>
      <c r="G39" s="16"/>
    </row>
    <row r="40" spans="1:7" x14ac:dyDescent="0.2">
      <c r="A40" s="16" t="s">
        <v>329</v>
      </c>
      <c r="B40" s="181">
        <v>4</v>
      </c>
      <c r="C40" s="92" t="s">
        <v>113</v>
      </c>
      <c r="D40" s="16">
        <f>B40*Planilha2!U16</f>
        <v>396.88888888888891</v>
      </c>
      <c r="E40" s="16" t="s">
        <v>37</v>
      </c>
      <c r="F40" s="16"/>
    </row>
    <row r="41" spans="1:7" x14ac:dyDescent="0.2">
      <c r="A41" s="42" t="s">
        <v>472</v>
      </c>
      <c r="B41" s="179">
        <f>(D13+D18)*2*26</f>
        <v>1664</v>
      </c>
      <c r="C41" s="107" t="s">
        <v>473</v>
      </c>
      <c r="D41" s="42">
        <f>B41*Planilha2!R27</f>
        <v>1064.96</v>
      </c>
      <c r="E41" s="42" t="s">
        <v>43</v>
      </c>
      <c r="F41" s="73"/>
      <c r="G41" s="16"/>
    </row>
    <row r="42" spans="1:7" x14ac:dyDescent="0.2">
      <c r="A42" s="70"/>
      <c r="B42" s="70"/>
      <c r="C42" s="70"/>
      <c r="D42" s="16"/>
      <c r="E42" s="16"/>
      <c r="F42" s="16"/>
      <c r="G42" s="16"/>
    </row>
    <row r="43" spans="1:7" x14ac:dyDescent="0.2">
      <c r="A43" s="93" t="s">
        <v>197</v>
      </c>
      <c r="B43" s="93"/>
      <c r="C43" s="93"/>
      <c r="D43" s="31">
        <f>SUM(D28:D41)</f>
        <v>5483.1972222222221</v>
      </c>
      <c r="E43" s="31" t="s">
        <v>130</v>
      </c>
      <c r="F43" s="16"/>
      <c r="G43" s="16"/>
    </row>
    <row r="44" spans="1:7" hidden="1" x14ac:dyDescent="0.2">
      <c r="A44" s="70"/>
      <c r="B44" s="70"/>
      <c r="C44" s="70"/>
      <c r="D44" s="16"/>
      <c r="E44" s="16"/>
      <c r="F44" s="16"/>
      <c r="G44" s="16"/>
    </row>
    <row r="45" spans="1:7" hidden="1" x14ac:dyDescent="0.2">
      <c r="A45" s="71" t="s">
        <v>303</v>
      </c>
      <c r="B45" s="72"/>
      <c r="C45" s="72"/>
      <c r="D45" s="16"/>
      <c r="E45" s="16"/>
      <c r="F45" s="16"/>
      <c r="G45" s="16"/>
    </row>
    <row r="46" spans="1:7" hidden="1" x14ac:dyDescent="0.2">
      <c r="A46" s="16"/>
      <c r="B46" s="16"/>
      <c r="C46" s="16"/>
      <c r="D46" s="16"/>
      <c r="E46" s="16"/>
      <c r="F46" s="16"/>
      <c r="G46" s="16"/>
    </row>
    <row r="47" spans="1:7" hidden="1" x14ac:dyDescent="0.2">
      <c r="A47" s="16" t="s">
        <v>304</v>
      </c>
      <c r="B47" s="16"/>
      <c r="C47" s="16"/>
      <c r="D47" s="16"/>
      <c r="E47" s="16" t="s">
        <v>297</v>
      </c>
      <c r="F47" s="16"/>
      <c r="G47" s="16"/>
    </row>
    <row r="48" spans="1:7" hidden="1" x14ac:dyDescent="0.2">
      <c r="A48" s="16" t="s">
        <v>305</v>
      </c>
      <c r="B48" s="16"/>
      <c r="C48" s="16"/>
      <c r="D48" s="16" t="e">
        <f>#REF!</f>
        <v>#REF!</v>
      </c>
      <c r="E48" s="16" t="s">
        <v>296</v>
      </c>
      <c r="F48" s="16"/>
      <c r="G48" s="16"/>
    </row>
    <row r="49" spans="1:17" hidden="1" x14ac:dyDescent="0.2">
      <c r="A49" s="16" t="s">
        <v>306</v>
      </c>
      <c r="B49" s="16"/>
      <c r="C49" s="16"/>
      <c r="D49" s="16" t="e">
        <f>D47*D48</f>
        <v>#REF!</v>
      </c>
      <c r="E49" s="16" t="s">
        <v>43</v>
      </c>
      <c r="F49" s="16"/>
      <c r="G49" s="16"/>
    </row>
    <row r="50" spans="1:17" hidden="1" x14ac:dyDescent="0.2">
      <c r="A50" s="70"/>
      <c r="B50" s="70"/>
      <c r="C50" s="70"/>
      <c r="D50" s="16"/>
      <c r="E50" s="16"/>
      <c r="F50" s="16"/>
      <c r="G50" s="16"/>
    </row>
    <row r="51" spans="1:17" hidden="1" x14ac:dyDescent="0.2">
      <c r="A51" s="93" t="s">
        <v>291</v>
      </c>
      <c r="B51" s="93"/>
      <c r="C51" s="93"/>
      <c r="D51" s="31" t="e">
        <f>D49</f>
        <v>#REF!</v>
      </c>
      <c r="E51" s="31" t="s">
        <v>130</v>
      </c>
      <c r="F51" s="16"/>
      <c r="G51" s="16"/>
    </row>
    <row r="52" spans="1:17" x14ac:dyDescent="0.2">
      <c r="A52" s="70"/>
      <c r="B52" s="70"/>
      <c r="C52" s="70"/>
      <c r="D52" s="16"/>
      <c r="E52" s="16"/>
      <c r="F52" s="16"/>
      <c r="G52" s="16"/>
    </row>
    <row r="53" spans="1:17" s="1" customFormat="1" hidden="1" x14ac:dyDescent="0.2">
      <c r="A53" s="109" t="s">
        <v>503</v>
      </c>
      <c r="B53" s="42"/>
      <c r="C53" s="42"/>
      <c r="D53" s="42"/>
      <c r="E53" s="42"/>
      <c r="F53" s="42"/>
      <c r="G53" s="42"/>
      <c r="H53" s="42"/>
      <c r="I53" s="42"/>
      <c r="O53" s="127"/>
      <c r="Q53" s="65"/>
    </row>
    <row r="54" spans="1:17" s="1" customFormat="1" hidden="1" x14ac:dyDescent="0.2">
      <c r="A54" s="109"/>
      <c r="B54" s="42"/>
      <c r="C54" s="42"/>
      <c r="D54" s="42"/>
      <c r="E54" s="42"/>
      <c r="F54" s="42"/>
      <c r="G54" s="42"/>
      <c r="H54" s="42"/>
      <c r="I54" s="42"/>
      <c r="O54" s="127"/>
      <c r="Q54" s="65"/>
    </row>
    <row r="55" spans="1:17" s="1" customFormat="1" hidden="1" x14ac:dyDescent="0.2">
      <c r="A55" s="104" t="s">
        <v>504</v>
      </c>
      <c r="B55" s="42"/>
      <c r="C55" s="42"/>
      <c r="D55" s="42"/>
      <c r="E55" s="42"/>
      <c r="F55" s="42"/>
      <c r="G55" s="42"/>
      <c r="H55" s="42"/>
      <c r="I55" s="42"/>
      <c r="O55" s="127"/>
      <c r="Q55" s="65"/>
    </row>
    <row r="56" spans="1:17" s="1" customFormat="1" hidden="1" x14ac:dyDescent="0.2">
      <c r="A56" s="104" t="s">
        <v>505</v>
      </c>
      <c r="B56" s="42"/>
      <c r="C56" s="42"/>
      <c r="D56" s="42">
        <f>63*1.5</f>
        <v>94.5</v>
      </c>
      <c r="E56" s="42" t="s">
        <v>475</v>
      </c>
      <c r="F56" s="42"/>
      <c r="G56" s="42"/>
      <c r="H56" s="42"/>
      <c r="I56" s="42"/>
      <c r="O56" s="127"/>
      <c r="Q56" s="65"/>
    </row>
    <row r="57" spans="1:17" s="1" customFormat="1" hidden="1" x14ac:dyDescent="0.2">
      <c r="A57" s="104" t="s">
        <v>506</v>
      </c>
      <c r="B57" s="42"/>
      <c r="C57" s="42"/>
      <c r="D57" s="42">
        <f>47.25*1.3</f>
        <v>61.425000000000004</v>
      </c>
      <c r="E57" s="42" t="s">
        <v>485</v>
      </c>
      <c r="F57" s="42"/>
      <c r="G57" s="42"/>
      <c r="H57" s="42"/>
      <c r="I57" s="42"/>
      <c r="O57" s="127"/>
      <c r="Q57" s="65"/>
    </row>
    <row r="58" spans="1:17" s="1" customFormat="1" hidden="1" x14ac:dyDescent="0.2">
      <c r="A58" s="104"/>
      <c r="B58" s="42"/>
      <c r="C58" s="42"/>
      <c r="D58" s="42"/>
      <c r="E58" s="42"/>
      <c r="F58" s="42"/>
      <c r="G58" s="42"/>
      <c r="H58" s="42"/>
      <c r="I58" s="42"/>
      <c r="O58" s="127"/>
      <c r="Q58" s="65"/>
    </row>
    <row r="59" spans="1:17" s="1" customFormat="1" hidden="1" x14ac:dyDescent="0.2">
      <c r="A59" s="104" t="s">
        <v>507</v>
      </c>
      <c r="B59" s="42"/>
      <c r="C59" s="42"/>
      <c r="D59" s="42"/>
      <c r="E59" s="42"/>
      <c r="F59" s="42"/>
      <c r="G59" s="42"/>
      <c r="H59" s="42"/>
      <c r="I59" s="42"/>
      <c r="O59" s="127"/>
      <c r="Q59" s="65"/>
    </row>
    <row r="60" spans="1:17" s="1" customFormat="1" hidden="1" x14ac:dyDescent="0.2">
      <c r="A60" s="104" t="s">
        <v>508</v>
      </c>
      <c r="B60" s="42"/>
      <c r="C60" s="42"/>
      <c r="D60" s="42">
        <v>800</v>
      </c>
      <c r="E60" s="42" t="s">
        <v>484</v>
      </c>
      <c r="F60" s="42"/>
      <c r="G60" s="42"/>
      <c r="H60" s="42"/>
      <c r="I60" s="42"/>
      <c r="O60" s="127"/>
      <c r="Q60" s="65"/>
    </row>
    <row r="61" spans="1:17" s="1" customFormat="1" hidden="1" x14ac:dyDescent="0.2">
      <c r="A61" s="104" t="s">
        <v>509</v>
      </c>
      <c r="B61" s="42"/>
      <c r="C61" s="42"/>
      <c r="D61" s="42">
        <v>60</v>
      </c>
      <c r="E61" s="42" t="s">
        <v>485</v>
      </c>
      <c r="F61" s="42"/>
      <c r="G61" s="42"/>
      <c r="H61" s="42"/>
      <c r="I61" s="42"/>
      <c r="O61" s="127"/>
      <c r="Q61" s="65"/>
    </row>
    <row r="62" spans="1:17" s="1" customFormat="1" hidden="1" x14ac:dyDescent="0.2">
      <c r="A62" s="104" t="s">
        <v>510</v>
      </c>
      <c r="B62" s="42"/>
      <c r="C62" s="42"/>
      <c r="D62" s="42">
        <v>30</v>
      </c>
      <c r="E62" s="42" t="s">
        <v>55</v>
      </c>
      <c r="F62" s="42"/>
      <c r="G62" s="42"/>
      <c r="H62" s="42"/>
      <c r="I62" s="42"/>
      <c r="O62" s="127"/>
      <c r="Q62" s="65"/>
    </row>
    <row r="63" spans="1:17" s="1" customFormat="1" hidden="1" x14ac:dyDescent="0.2">
      <c r="A63" s="42" t="s">
        <v>511</v>
      </c>
      <c r="B63" s="42"/>
      <c r="C63" s="42"/>
      <c r="D63" s="42">
        <f>(D60/D62)+D61</f>
        <v>86.666666666666671</v>
      </c>
      <c r="E63" s="42" t="s">
        <v>486</v>
      </c>
      <c r="F63" s="42"/>
      <c r="G63" s="42"/>
      <c r="H63" s="42"/>
      <c r="I63" s="42"/>
      <c r="O63" s="127"/>
      <c r="Q63" s="65"/>
    </row>
    <row r="64" spans="1:17" s="1" customFormat="1" hidden="1" x14ac:dyDescent="0.2">
      <c r="A64" s="42"/>
      <c r="B64" s="42"/>
      <c r="C64" s="42"/>
      <c r="D64" s="42"/>
      <c r="E64" s="42"/>
      <c r="F64" s="42"/>
      <c r="G64" s="42"/>
      <c r="H64" s="42"/>
      <c r="I64" s="42"/>
      <c r="O64" s="127"/>
      <c r="Q64" s="65"/>
    </row>
    <row r="65" spans="1:17" s="1" customFormat="1" hidden="1" x14ac:dyDescent="0.2">
      <c r="A65" s="42" t="s">
        <v>512</v>
      </c>
      <c r="B65" s="42"/>
      <c r="C65" s="42"/>
      <c r="D65" s="42"/>
      <c r="E65" s="42"/>
      <c r="F65" s="42"/>
      <c r="G65" s="42"/>
      <c r="H65" s="42"/>
      <c r="I65" s="42"/>
      <c r="O65" s="127"/>
      <c r="Q65" s="65"/>
    </row>
    <row r="66" spans="1:17" s="1" customFormat="1" hidden="1" x14ac:dyDescent="0.2">
      <c r="A66" s="42" t="s">
        <v>513</v>
      </c>
      <c r="B66" s="42"/>
      <c r="C66" s="42"/>
      <c r="D66" s="42">
        <v>0</v>
      </c>
      <c r="E66" s="42" t="s">
        <v>493</v>
      </c>
      <c r="F66" s="42"/>
      <c r="G66" s="42"/>
      <c r="H66" s="42"/>
      <c r="I66" s="42"/>
      <c r="O66" s="127"/>
      <c r="Q66" s="65"/>
    </row>
    <row r="67" spans="1:17" s="1" customFormat="1" hidden="1" x14ac:dyDescent="0.2">
      <c r="A67" s="42" t="s">
        <v>514</v>
      </c>
      <c r="B67" s="42"/>
      <c r="C67" s="42"/>
      <c r="D67" s="42">
        <v>0</v>
      </c>
      <c r="E67" s="42" t="s">
        <v>493</v>
      </c>
      <c r="F67" s="42"/>
      <c r="G67" s="42"/>
      <c r="H67" s="42"/>
      <c r="I67" s="42"/>
      <c r="O67" s="127"/>
      <c r="Q67" s="65"/>
    </row>
    <row r="68" spans="1:17" s="1" customFormat="1" hidden="1" x14ac:dyDescent="0.2">
      <c r="A68" s="42" t="s">
        <v>515</v>
      </c>
      <c r="B68" s="42"/>
      <c r="C68" s="42"/>
      <c r="D68" s="42">
        <f>D56*D66</f>
        <v>0</v>
      </c>
      <c r="E68" s="42" t="s">
        <v>494</v>
      </c>
      <c r="F68" s="42"/>
      <c r="G68" s="42"/>
      <c r="H68" s="42"/>
      <c r="I68" s="42"/>
      <c r="O68" s="127"/>
      <c r="Q68" s="65"/>
    </row>
    <row r="69" spans="1:17" s="1" customFormat="1" hidden="1" x14ac:dyDescent="0.2">
      <c r="A69" s="42" t="s">
        <v>516</v>
      </c>
      <c r="B69" s="42"/>
      <c r="C69" s="42"/>
      <c r="D69" s="42">
        <f>D67*D57</f>
        <v>0</v>
      </c>
      <c r="E69" s="42" t="s">
        <v>485</v>
      </c>
      <c r="F69" s="42"/>
      <c r="G69" s="42"/>
      <c r="H69" s="42"/>
      <c r="I69" s="42"/>
      <c r="O69" s="127"/>
      <c r="Q69" s="65"/>
    </row>
    <row r="70" spans="1:17" s="1" customFormat="1" hidden="1" x14ac:dyDescent="0.2">
      <c r="A70" s="42" t="s">
        <v>517</v>
      </c>
      <c r="B70" s="42"/>
      <c r="C70" s="42"/>
      <c r="D70" s="42"/>
      <c r="E70" s="42" t="s">
        <v>493</v>
      </c>
      <c r="F70" s="42"/>
      <c r="G70" s="42"/>
      <c r="H70" s="42"/>
      <c r="I70" s="42"/>
      <c r="O70" s="127"/>
      <c r="Q70" s="65"/>
    </row>
    <row r="71" spans="1:17" s="1" customFormat="1" hidden="1" x14ac:dyDescent="0.2">
      <c r="A71" s="42" t="s">
        <v>518</v>
      </c>
      <c r="B71" s="42"/>
      <c r="C71" s="42"/>
      <c r="D71" s="42">
        <f>D63*D70</f>
        <v>0</v>
      </c>
      <c r="E71" s="42" t="s">
        <v>497</v>
      </c>
      <c r="F71" s="42"/>
      <c r="G71" s="42"/>
      <c r="H71" s="42"/>
      <c r="I71" s="42"/>
      <c r="O71" s="127"/>
      <c r="Q71" s="65"/>
    </row>
    <row r="72" spans="1:17" hidden="1" x14ac:dyDescent="0.2">
      <c r="A72" s="16"/>
      <c r="B72" s="16"/>
      <c r="C72" s="16"/>
      <c r="D72" s="16"/>
      <c r="E72" s="16"/>
      <c r="F72" s="16"/>
      <c r="G72" s="16"/>
    </row>
    <row r="73" spans="1:17" s="1" customFormat="1" hidden="1" x14ac:dyDescent="0.2">
      <c r="A73" s="105" t="s">
        <v>492</v>
      </c>
      <c r="B73" s="105"/>
      <c r="C73" s="105"/>
      <c r="D73" s="105">
        <f>D68+D69+D71</f>
        <v>0</v>
      </c>
      <c r="E73" s="105" t="s">
        <v>130</v>
      </c>
      <c r="F73" s="42"/>
      <c r="G73" s="42"/>
      <c r="H73" s="42"/>
      <c r="I73" s="42"/>
      <c r="O73" s="127"/>
      <c r="Q73" s="65"/>
    </row>
    <row r="74" spans="1:17" hidden="1" x14ac:dyDescent="0.2">
      <c r="A74" s="70"/>
      <c r="B74" s="70"/>
      <c r="C74" s="70"/>
      <c r="D74" s="16"/>
      <c r="E74" s="16"/>
      <c r="F74" s="16"/>
      <c r="G74" s="16"/>
    </row>
    <row r="75" spans="1:17" x14ac:dyDescent="0.2">
      <c r="A75" s="80" t="s">
        <v>66</v>
      </c>
      <c r="B75" s="78"/>
      <c r="C75" s="78"/>
      <c r="D75" s="16"/>
      <c r="E75" s="16"/>
      <c r="F75" s="16"/>
      <c r="G75" s="16"/>
    </row>
    <row r="76" spans="1:17" x14ac:dyDescent="0.2">
      <c r="A76" s="78"/>
      <c r="B76" s="78"/>
      <c r="C76" s="78"/>
      <c r="D76" s="16"/>
      <c r="E76" s="16"/>
      <c r="F76" s="16"/>
      <c r="G76" s="16"/>
    </row>
    <row r="77" spans="1:17" x14ac:dyDescent="0.2">
      <c r="A77" s="16" t="s">
        <v>68</v>
      </c>
      <c r="B77" s="16"/>
      <c r="C77" s="16"/>
      <c r="D77" s="16">
        <f>D24</f>
        <v>152670.5536372381</v>
      </c>
      <c r="E77" s="16" t="s">
        <v>37</v>
      </c>
      <c r="F77" s="65">
        <f>D77/$D$82</f>
        <v>0.96532995776309638</v>
      </c>
      <c r="G77" s="16"/>
    </row>
    <row r="78" spans="1:17" hidden="1" x14ac:dyDescent="0.2">
      <c r="A78" s="16" t="s">
        <v>58</v>
      </c>
      <c r="B78" s="16"/>
      <c r="C78" s="16"/>
      <c r="D78" s="16"/>
      <c r="E78" s="16" t="s">
        <v>37</v>
      </c>
      <c r="F78" s="65">
        <f t="shared" ref="F78:F80" si="0">D78/$D$82</f>
        <v>0</v>
      </c>
      <c r="G78" s="16"/>
    </row>
    <row r="79" spans="1:17" x14ac:dyDescent="0.2">
      <c r="A79" s="16" t="s">
        <v>520</v>
      </c>
      <c r="B79" s="16"/>
      <c r="C79" s="16"/>
      <c r="D79" s="16">
        <f>D43</f>
        <v>5483.1972222222221</v>
      </c>
      <c r="E79" s="16" t="s">
        <v>37</v>
      </c>
      <c r="F79" s="65">
        <f t="shared" si="0"/>
        <v>3.467004223690362E-2</v>
      </c>
      <c r="G79" s="16"/>
    </row>
    <row r="80" spans="1:17" x14ac:dyDescent="0.2">
      <c r="A80" s="42" t="s">
        <v>498</v>
      </c>
      <c r="B80" s="16"/>
      <c r="C80" s="16"/>
      <c r="D80" s="91">
        <f>D73</f>
        <v>0</v>
      </c>
      <c r="E80" s="16" t="s">
        <v>37</v>
      </c>
      <c r="F80" s="65">
        <f t="shared" si="0"/>
        <v>0</v>
      </c>
      <c r="G80" s="16"/>
      <c r="H80" s="59"/>
    </row>
    <row r="81" spans="1:17" x14ac:dyDescent="0.2">
      <c r="A81" s="16"/>
      <c r="B81" s="16"/>
      <c r="C81" s="16"/>
      <c r="D81" s="16"/>
      <c r="E81" s="16"/>
      <c r="F81" s="65">
        <f>F78+F79+F80</f>
        <v>3.467004223690362E-2</v>
      </c>
      <c r="G81" s="16"/>
    </row>
    <row r="82" spans="1:17" x14ac:dyDescent="0.2">
      <c r="A82" s="31" t="s">
        <v>185</v>
      </c>
      <c r="B82" s="31"/>
      <c r="C82" s="31"/>
      <c r="D82" s="31">
        <f>SUM(D77:D80)</f>
        <v>158153.75085946033</v>
      </c>
      <c r="E82" s="31" t="s">
        <v>130</v>
      </c>
      <c r="F82" s="16"/>
      <c r="G82" s="16"/>
    </row>
    <row r="83" spans="1:17" x14ac:dyDescent="0.2">
      <c r="A83" s="16"/>
      <c r="B83" s="16"/>
      <c r="C83" s="16"/>
      <c r="D83" s="16" t="s">
        <v>8</v>
      </c>
      <c r="E83" s="16"/>
      <c r="F83" s="16"/>
      <c r="G83" s="16"/>
    </row>
    <row r="84" spans="1:17" s="94" customFormat="1" x14ac:dyDescent="0.2">
      <c r="A84" s="105" t="s">
        <v>376</v>
      </c>
      <c r="B84" s="144">
        <f>BDI!C12</f>
        <v>0.29709999999999998</v>
      </c>
      <c r="C84" s="105"/>
      <c r="D84" s="134">
        <f>D86-D82</f>
        <v>46987.479380345641</v>
      </c>
      <c r="E84" s="105" t="s">
        <v>130</v>
      </c>
      <c r="F84" s="134"/>
      <c r="G84" s="105"/>
      <c r="H84" s="38"/>
      <c r="I84" s="65"/>
      <c r="O84" s="142"/>
      <c r="Q84" s="120"/>
    </row>
    <row r="85" spans="1:17" x14ac:dyDescent="0.2">
      <c r="A85" s="16"/>
      <c r="B85" s="16"/>
      <c r="C85" s="16"/>
      <c r="D85" s="16"/>
      <c r="E85" s="16"/>
      <c r="F85" s="123"/>
      <c r="G85" s="124"/>
      <c r="H85" s="16"/>
    </row>
    <row r="86" spans="1:17" x14ac:dyDescent="0.2">
      <c r="A86" s="81" t="s">
        <v>193</v>
      </c>
      <c r="B86" s="84"/>
      <c r="C86" s="84"/>
      <c r="D86" s="31">
        <f>D82*(1+B84)</f>
        <v>205141.23023980597</v>
      </c>
      <c r="E86" s="31" t="s">
        <v>37</v>
      </c>
      <c r="F86" s="122"/>
      <c r="G86" s="121"/>
      <c r="H86" s="16"/>
      <c r="I86" s="83"/>
      <c r="M86" s="11">
        <f>110*9</f>
        <v>990</v>
      </c>
    </row>
    <row r="87" spans="1:17" x14ac:dyDescent="0.2">
      <c r="A87" s="82" t="s">
        <v>194</v>
      </c>
      <c r="B87" s="31"/>
      <c r="C87" s="31"/>
      <c r="D87" s="31">
        <v>2</v>
      </c>
      <c r="E87" s="31" t="s">
        <v>424</v>
      </c>
      <c r="F87" s="16"/>
      <c r="G87" s="16"/>
    </row>
    <row r="88" spans="1:17" x14ac:dyDescent="0.2">
      <c r="A88" s="82" t="s">
        <v>195</v>
      </c>
      <c r="B88" s="31"/>
      <c r="C88" s="31"/>
      <c r="D88" s="31">
        <f>ROUND(D86/D87,2)</f>
        <v>102570.62</v>
      </c>
      <c r="E88" s="31" t="s">
        <v>425</v>
      </c>
      <c r="F88" s="11"/>
      <c r="G88" s="16"/>
    </row>
    <row r="89" spans="1:17" x14ac:dyDescent="0.2">
      <c r="A89" s="16"/>
      <c r="B89" s="16"/>
      <c r="C89" s="16"/>
      <c r="D89" s="16"/>
      <c r="E89" s="16"/>
      <c r="F89" s="16"/>
      <c r="G89" s="16"/>
    </row>
    <row r="90" spans="1:17" x14ac:dyDescent="0.2">
      <c r="G90" s="16"/>
    </row>
    <row r="91" spans="1:17" x14ac:dyDescent="0.2">
      <c r="G91" s="16"/>
    </row>
    <row r="92" spans="1:17" x14ac:dyDescent="0.2">
      <c r="G92" s="16"/>
    </row>
    <row r="93" spans="1:17" x14ac:dyDescent="0.2">
      <c r="D93" s="16"/>
    </row>
    <row r="96" spans="1:17" x14ac:dyDescent="0.2">
      <c r="D96" s="89"/>
    </row>
  </sheetData>
  <mergeCells count="3">
    <mergeCell ref="A1:E1"/>
    <mergeCell ref="A2:E2"/>
    <mergeCell ref="A7:E7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colBreaks count="1" manualBreakCount="1">
    <brk id="5" max="1048575" man="1"/>
  </colBreaks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86"/>
  <sheetViews>
    <sheetView view="pageBreakPreview" topLeftCell="A54" zoomScaleSheetLayoutView="100" workbookViewId="0">
      <selection activeCell="B82" sqref="B82"/>
    </sheetView>
  </sheetViews>
  <sheetFormatPr defaultColWidth="12" defaultRowHeight="12.75" x14ac:dyDescent="0.2"/>
  <cols>
    <col min="1" max="1" width="66.6640625" style="13" customWidth="1"/>
    <col min="2" max="2" width="11.1640625" style="13" bestFit="1" customWidth="1"/>
    <col min="3" max="3" width="5.83203125" style="13" customWidth="1"/>
    <col min="4" max="4" width="14.83203125" style="13" customWidth="1"/>
    <col min="5" max="5" width="12.83203125" style="13" customWidth="1"/>
    <col min="6" max="6" width="14.83203125" style="13" customWidth="1"/>
    <col min="7" max="7" width="17" style="13" customWidth="1"/>
    <col min="8" max="16384" width="12" style="11"/>
  </cols>
  <sheetData>
    <row r="1" spans="1:7" x14ac:dyDescent="0.2">
      <c r="G1" s="11"/>
    </row>
    <row r="2" spans="1:7" x14ac:dyDescent="0.2">
      <c r="A2" s="336" t="s">
        <v>0</v>
      </c>
      <c r="B2" s="336"/>
      <c r="C2" s="336"/>
      <c r="D2" s="336"/>
      <c r="E2" s="336"/>
      <c r="F2" s="68"/>
      <c r="G2" s="11"/>
    </row>
    <row r="3" spans="1:7" x14ac:dyDescent="0.2">
      <c r="A3" s="16"/>
      <c r="B3" s="16"/>
      <c r="C3" s="16"/>
      <c r="D3" s="16"/>
      <c r="E3" s="16"/>
      <c r="F3" s="16"/>
      <c r="G3" s="16"/>
    </row>
    <row r="4" spans="1:7" x14ac:dyDescent="0.2">
      <c r="A4" s="69" t="s">
        <v>427</v>
      </c>
      <c r="B4" s="69"/>
      <c r="C4" s="69"/>
      <c r="D4" s="18"/>
      <c r="E4" s="18"/>
      <c r="F4" s="18"/>
      <c r="G4" s="18"/>
    </row>
    <row r="5" spans="1:7" x14ac:dyDescent="0.2">
      <c r="A5" s="69"/>
      <c r="B5" s="69"/>
      <c r="C5" s="69"/>
      <c r="D5" s="18"/>
      <c r="E5" s="18"/>
      <c r="F5" s="18"/>
      <c r="G5" s="18"/>
    </row>
    <row r="6" spans="1:7" s="34" customFormat="1" x14ac:dyDescent="0.2">
      <c r="A6" s="80" t="s">
        <v>34</v>
      </c>
      <c r="B6" s="80"/>
      <c r="C6" s="80"/>
      <c r="D6" s="18"/>
      <c r="E6" s="18"/>
      <c r="F6" s="18"/>
      <c r="G6" s="18"/>
    </row>
    <row r="7" spans="1:7" x14ac:dyDescent="0.2">
      <c r="A7" s="16"/>
      <c r="B7" s="16"/>
      <c r="C7" s="16"/>
      <c r="D7" s="85" t="s">
        <v>159</v>
      </c>
      <c r="E7" s="86"/>
      <c r="F7" s="85" t="s">
        <v>160</v>
      </c>
      <c r="G7" s="16"/>
    </row>
    <row r="8" spans="1:7" x14ac:dyDescent="0.2">
      <c r="A8" s="70" t="s">
        <v>88</v>
      </c>
      <c r="C8" s="70"/>
      <c r="D8" s="16">
        <v>3</v>
      </c>
      <c r="E8" s="16" t="s">
        <v>35</v>
      </c>
      <c r="F8" s="16">
        <v>3</v>
      </c>
      <c r="G8" s="16" t="s">
        <v>35</v>
      </c>
    </row>
    <row r="9" spans="1:7" x14ac:dyDescent="0.2">
      <c r="A9" s="61" t="s">
        <v>46</v>
      </c>
      <c r="B9" s="61"/>
      <c r="C9" s="61"/>
      <c r="D9" s="16">
        <f>COLETOR!B32</f>
        <v>4484.9060142857152</v>
      </c>
      <c r="E9" s="61" t="s">
        <v>36</v>
      </c>
      <c r="F9" s="16">
        <f>COLETOR!B59</f>
        <v>4871.7265442857151</v>
      </c>
      <c r="G9" s="61" t="s">
        <v>36</v>
      </c>
    </row>
    <row r="10" spans="1:7" x14ac:dyDescent="0.2">
      <c r="A10" s="61" t="s">
        <v>91</v>
      </c>
      <c r="B10" s="61"/>
      <c r="C10" s="61"/>
      <c r="D10" s="16">
        <f>ROUND(+D9*D8,2)</f>
        <v>13454.72</v>
      </c>
      <c r="E10" s="16" t="s">
        <v>37</v>
      </c>
      <c r="F10" s="16">
        <f>ROUND(+F9*F8,2)</f>
        <v>14615.18</v>
      </c>
      <c r="G10" s="16" t="s">
        <v>37</v>
      </c>
    </row>
    <row r="11" spans="1:7" x14ac:dyDescent="0.2">
      <c r="A11" s="61" t="s">
        <v>131</v>
      </c>
      <c r="B11" s="61"/>
      <c r="C11" s="61"/>
      <c r="D11" s="16">
        <f>ROUND((((D8*(D9/220)*1.5)*4*4)+(D8*((D9/220)*2)*8*1)),2)</f>
        <v>2446.31</v>
      </c>
      <c r="E11" s="16" t="s">
        <v>37</v>
      </c>
      <c r="F11" s="16">
        <f>ROUND((((F8*(F9/220)*1.5)*4*4)+(F8*((F9/220)*2)*8*1)),2)</f>
        <v>2657.31</v>
      </c>
      <c r="G11" s="16" t="s">
        <v>37</v>
      </c>
    </row>
    <row r="12" spans="1:7" x14ac:dyDescent="0.2">
      <c r="A12" s="70" t="s">
        <v>92</v>
      </c>
      <c r="B12" s="70"/>
      <c r="C12" s="70"/>
      <c r="D12" s="16">
        <f>ROUND(SUM(D10:D11),2)</f>
        <v>15901.03</v>
      </c>
      <c r="E12" s="16" t="s">
        <v>43</v>
      </c>
      <c r="F12" s="16">
        <f>ROUND(SUM(F10:F11),2)</f>
        <v>17272.490000000002</v>
      </c>
      <c r="G12" s="16" t="s">
        <v>43</v>
      </c>
    </row>
    <row r="13" spans="1:7" x14ac:dyDescent="0.2">
      <c r="A13" s="61"/>
      <c r="B13" s="61"/>
      <c r="C13" s="61"/>
      <c r="D13" s="16"/>
      <c r="E13" s="16"/>
    </row>
    <row r="14" spans="1:7" x14ac:dyDescent="0.2">
      <c r="A14" s="61" t="s">
        <v>38</v>
      </c>
      <c r="B14" s="61"/>
      <c r="C14" s="61"/>
      <c r="D14" s="16">
        <v>1</v>
      </c>
      <c r="E14" s="16" t="s">
        <v>35</v>
      </c>
      <c r="F14" s="16">
        <v>1</v>
      </c>
      <c r="G14" s="16" t="s">
        <v>35</v>
      </c>
    </row>
    <row r="15" spans="1:7" x14ac:dyDescent="0.2">
      <c r="A15" s="16" t="s">
        <v>39</v>
      </c>
      <c r="B15" s="16"/>
      <c r="C15" s="16"/>
      <c r="D15" s="16">
        <f>'ENC I'!B32</f>
        <v>9061.6866043333339</v>
      </c>
      <c r="E15" s="16" t="s">
        <v>36</v>
      </c>
      <c r="F15" s="16">
        <f>'ENC I'!B59</f>
        <v>9715.8399713333329</v>
      </c>
      <c r="G15" s="61" t="s">
        <v>36</v>
      </c>
    </row>
    <row r="16" spans="1:7" x14ac:dyDescent="0.2">
      <c r="A16" s="16" t="s">
        <v>40</v>
      </c>
      <c r="B16" s="16"/>
      <c r="C16" s="16"/>
      <c r="D16" s="16">
        <f>ROUND(+D15*D14,2)</f>
        <v>9061.69</v>
      </c>
      <c r="E16" s="16" t="s">
        <v>37</v>
      </c>
      <c r="F16" s="16">
        <f>ROUND(+F15*F14,2)</f>
        <v>9715.84</v>
      </c>
      <c r="G16" s="16" t="s">
        <v>37</v>
      </c>
    </row>
    <row r="17" spans="1:7" x14ac:dyDescent="0.2">
      <c r="A17" s="61" t="s">
        <v>131</v>
      </c>
      <c r="B17" s="61"/>
      <c r="C17" s="61"/>
      <c r="D17" s="16">
        <f>ROUND((((D14*(D15/220)*1.5)*4*4)+(D14*((D15/220)*2)*8*1)),2)</f>
        <v>1647.58</v>
      </c>
      <c r="E17" s="16" t="s">
        <v>37</v>
      </c>
      <c r="F17" s="16">
        <f>ROUND((((F14*(F15/220)*1.5)*4*4)+(F14*((F15/220)*2)*8*1)),2)</f>
        <v>1766.52</v>
      </c>
      <c r="G17" s="16" t="s">
        <v>37</v>
      </c>
    </row>
    <row r="18" spans="1:7" x14ac:dyDescent="0.2">
      <c r="A18" s="16" t="s">
        <v>48</v>
      </c>
      <c r="B18" s="16"/>
      <c r="C18" s="16"/>
      <c r="D18" s="16">
        <f>ROUND(SUM(D16:D17),2)</f>
        <v>10709.27</v>
      </c>
      <c r="E18" s="16" t="s">
        <v>43</v>
      </c>
      <c r="F18" s="16">
        <f>ROUND(SUM(F16:F17),2)</f>
        <v>11482.36</v>
      </c>
      <c r="G18" s="16" t="s">
        <v>43</v>
      </c>
    </row>
    <row r="19" spans="1:7" x14ac:dyDescent="0.2">
      <c r="A19" s="16"/>
      <c r="B19" s="16"/>
      <c r="C19" s="16"/>
      <c r="D19" s="16"/>
      <c r="E19" s="16"/>
      <c r="F19" s="16"/>
    </row>
    <row r="20" spans="1:7" x14ac:dyDescent="0.2">
      <c r="A20" s="61" t="s">
        <v>49</v>
      </c>
      <c r="B20" s="61"/>
      <c r="C20" s="61"/>
      <c r="D20" s="16">
        <v>1</v>
      </c>
      <c r="E20" s="16" t="s">
        <v>35</v>
      </c>
      <c r="F20" s="16">
        <v>1</v>
      </c>
      <c r="G20" s="16" t="s">
        <v>35</v>
      </c>
    </row>
    <row r="21" spans="1:7" x14ac:dyDescent="0.2">
      <c r="A21" s="61" t="s">
        <v>50</v>
      </c>
      <c r="B21" s="61"/>
      <c r="C21" s="61"/>
      <c r="D21" s="16">
        <f>MOTORISTA!B32</f>
        <v>6484.3952558333331</v>
      </c>
      <c r="E21" s="16" t="s">
        <v>36</v>
      </c>
      <c r="F21" s="16">
        <f>MOTORISTA!B58</f>
        <v>7222.7705586458324</v>
      </c>
      <c r="G21" s="61" t="s">
        <v>36</v>
      </c>
    </row>
    <row r="22" spans="1:7" x14ac:dyDescent="0.2">
      <c r="A22" s="61" t="s">
        <v>51</v>
      </c>
      <c r="B22" s="61"/>
      <c r="C22" s="61"/>
      <c r="D22" s="16">
        <f>ROUND(+D21*D20,2)</f>
        <v>6484.4</v>
      </c>
      <c r="E22" s="16" t="s">
        <v>37</v>
      </c>
      <c r="F22" s="16">
        <f>ROUND(+F21*F20,2)</f>
        <v>7222.77</v>
      </c>
      <c r="G22" s="16" t="s">
        <v>37</v>
      </c>
    </row>
    <row r="23" spans="1:7" x14ac:dyDescent="0.2">
      <c r="A23" s="61" t="s">
        <v>131</v>
      </c>
      <c r="B23" s="61"/>
      <c r="C23" s="61"/>
      <c r="D23" s="16">
        <f>ROUND((((D20*(D21/220)*1.5)*4*4)+(D20*((D21/220)*2)*8*1)),2)</f>
        <v>1178.98</v>
      </c>
      <c r="E23" s="16" t="s">
        <v>37</v>
      </c>
      <c r="F23" s="16">
        <f>ROUND((((F20*(F21/220)*1.5)*4*4)+(F20*((F21/220)*2)*8*1)),2)</f>
        <v>1313.23</v>
      </c>
      <c r="G23" s="16" t="s">
        <v>37</v>
      </c>
    </row>
    <row r="24" spans="1:7" x14ac:dyDescent="0.2">
      <c r="A24" s="70" t="s">
        <v>52</v>
      </c>
      <c r="B24" s="70"/>
      <c r="C24" s="70"/>
      <c r="D24" s="16">
        <f>ROUND(SUM(D22:D23),2)</f>
        <v>7663.38</v>
      </c>
      <c r="E24" s="16" t="s">
        <v>43</v>
      </c>
      <c r="F24" s="16">
        <f>ROUND(SUM(F22:F23),2)</f>
        <v>8536</v>
      </c>
      <c r="G24" s="16" t="s">
        <v>43</v>
      </c>
    </row>
    <row r="25" spans="1:7" x14ac:dyDescent="0.2">
      <c r="A25" s="16"/>
      <c r="B25" s="16"/>
      <c r="C25" s="16"/>
      <c r="D25" s="16"/>
      <c r="E25" s="16"/>
      <c r="G25" s="16"/>
    </row>
    <row r="26" spans="1:7" x14ac:dyDescent="0.2">
      <c r="A26" s="31" t="s">
        <v>181</v>
      </c>
      <c r="B26" s="31"/>
      <c r="C26" s="31"/>
      <c r="D26" s="31">
        <f>D12+F12+D18+F18+D24+F24</f>
        <v>71564.53</v>
      </c>
      <c r="E26" s="31" t="s">
        <v>130</v>
      </c>
      <c r="G26" s="16"/>
    </row>
    <row r="27" spans="1:7" x14ac:dyDescent="0.2">
      <c r="A27" s="16"/>
      <c r="B27" s="16"/>
      <c r="C27" s="16"/>
      <c r="D27" s="16"/>
      <c r="E27" s="16"/>
      <c r="G27" s="16"/>
    </row>
    <row r="28" spans="1:7" x14ac:dyDescent="0.2">
      <c r="A28" s="87" t="s">
        <v>87</v>
      </c>
      <c r="B28" s="75"/>
      <c r="C28" s="75"/>
      <c r="D28" s="18"/>
      <c r="E28" s="16"/>
      <c r="F28" s="16"/>
      <c r="G28" s="16"/>
    </row>
    <row r="29" spans="1:7" hidden="1" x14ac:dyDescent="0.2">
      <c r="A29" s="16"/>
      <c r="B29" s="16"/>
      <c r="C29" s="16"/>
      <c r="D29" s="16"/>
      <c r="E29" s="16"/>
      <c r="F29" s="16"/>
      <c r="G29" s="16"/>
    </row>
    <row r="30" spans="1:7" hidden="1" x14ac:dyDescent="0.2">
      <c r="A30" s="70" t="s">
        <v>284</v>
      </c>
      <c r="B30" s="70"/>
      <c r="C30" s="70"/>
      <c r="D30" s="16"/>
      <c r="E30" s="16" t="s">
        <v>35</v>
      </c>
      <c r="F30" s="16" t="s">
        <v>8</v>
      </c>
      <c r="G30" s="16"/>
    </row>
    <row r="31" spans="1:7" hidden="1" x14ac:dyDescent="0.2">
      <c r="A31" s="16" t="s">
        <v>53</v>
      </c>
      <c r="B31" s="16"/>
      <c r="C31" s="16"/>
      <c r="D31" s="16"/>
      <c r="E31" s="16" t="s">
        <v>36</v>
      </c>
      <c r="F31" s="16"/>
      <c r="G31" s="16"/>
    </row>
    <row r="32" spans="1:7" ht="12.95" hidden="1" customHeight="1" x14ac:dyDescent="0.2">
      <c r="A32" s="61" t="s">
        <v>286</v>
      </c>
      <c r="B32" s="61"/>
      <c r="C32" s="61"/>
      <c r="D32" s="16">
        <f>ROUND(+D31*D30,2)</f>
        <v>0</v>
      </c>
      <c r="E32" s="16" t="s">
        <v>37</v>
      </c>
      <c r="F32" s="16"/>
      <c r="G32" s="16"/>
    </row>
    <row r="33" spans="1:10" ht="12.95" customHeight="1" x14ac:dyDescent="0.2">
      <c r="A33" s="61"/>
      <c r="B33" s="61"/>
      <c r="C33" s="61"/>
      <c r="D33" s="16"/>
      <c r="E33" s="16"/>
      <c r="F33" s="16"/>
      <c r="G33" s="16"/>
    </row>
    <row r="34" spans="1:10" ht="12.95" customHeight="1" x14ac:dyDescent="0.2">
      <c r="A34" s="70" t="s">
        <v>428</v>
      </c>
      <c r="B34" s="70"/>
      <c r="C34" s="70"/>
      <c r="D34" s="16">
        <v>1</v>
      </c>
      <c r="E34" s="16" t="s">
        <v>35</v>
      </c>
      <c r="F34" s="16"/>
      <c r="G34" s="16"/>
    </row>
    <row r="35" spans="1:10" ht="12.95" customHeight="1" x14ac:dyDescent="0.2">
      <c r="A35" s="16" t="s">
        <v>318</v>
      </c>
      <c r="B35" s="16"/>
      <c r="C35" s="16"/>
      <c r="D35" s="16" t="e">
        <f>Cavalo!B61</f>
        <v>#REF!</v>
      </c>
      <c r="E35" s="16" t="s">
        <v>36</v>
      </c>
      <c r="F35" s="16"/>
      <c r="G35" s="16"/>
      <c r="J35" s="11">
        <v>308</v>
      </c>
    </row>
    <row r="36" spans="1:10" x14ac:dyDescent="0.2">
      <c r="A36" s="61" t="s">
        <v>287</v>
      </c>
      <c r="B36" s="61"/>
      <c r="C36" s="61"/>
      <c r="D36" s="16" t="e">
        <f>ROUND(+D35*D34,2)</f>
        <v>#REF!</v>
      </c>
      <c r="E36" s="16" t="s">
        <v>37</v>
      </c>
      <c r="F36" s="16"/>
      <c r="G36" s="16"/>
      <c r="J36" s="11">
        <v>20</v>
      </c>
    </row>
    <row r="37" spans="1:10" x14ac:dyDescent="0.2">
      <c r="A37" s="61"/>
      <c r="B37" s="61"/>
      <c r="C37" s="61"/>
      <c r="D37" s="16"/>
      <c r="E37" s="16"/>
      <c r="F37" s="16"/>
      <c r="G37" s="16"/>
    </row>
    <row r="38" spans="1:10" x14ac:dyDescent="0.2">
      <c r="A38" s="70" t="s">
        <v>429</v>
      </c>
      <c r="B38" s="70"/>
      <c r="C38" s="70"/>
      <c r="D38" s="16">
        <v>2</v>
      </c>
      <c r="E38" s="16" t="s">
        <v>35</v>
      </c>
      <c r="F38" s="16"/>
      <c r="G38" s="16"/>
    </row>
    <row r="39" spans="1:10" x14ac:dyDescent="0.2">
      <c r="A39" s="16" t="s">
        <v>318</v>
      </c>
      <c r="B39" s="16"/>
      <c r="C39" s="16"/>
      <c r="D39" s="16">
        <f>Carreta!B61</f>
        <v>5913.1500000000005</v>
      </c>
      <c r="E39" s="16" t="s">
        <v>36</v>
      </c>
      <c r="F39" s="16"/>
      <c r="G39" s="16"/>
      <c r="J39" s="11">
        <v>308</v>
      </c>
    </row>
    <row r="40" spans="1:10" x14ac:dyDescent="0.2">
      <c r="A40" s="61" t="s">
        <v>287</v>
      </c>
      <c r="B40" s="61"/>
      <c r="C40" s="61"/>
      <c r="D40" s="16">
        <f>ROUND(+D39*D38,2)</f>
        <v>11826.3</v>
      </c>
      <c r="E40" s="16" t="s">
        <v>37</v>
      </c>
      <c r="F40" s="16"/>
      <c r="G40" s="16"/>
      <c r="J40" s="11">
        <v>20</v>
      </c>
    </row>
    <row r="41" spans="1:10" x14ac:dyDescent="0.2">
      <c r="A41" s="16"/>
      <c r="B41" s="16"/>
      <c r="C41" s="16"/>
      <c r="D41" s="16"/>
      <c r="E41" s="16"/>
      <c r="F41" s="16"/>
      <c r="G41" s="16"/>
    </row>
    <row r="42" spans="1:10" x14ac:dyDescent="0.2">
      <c r="A42" s="70" t="s">
        <v>403</v>
      </c>
      <c r="B42" s="70"/>
      <c r="C42" s="70"/>
      <c r="D42" s="16">
        <v>1</v>
      </c>
      <c r="E42" s="16" t="s">
        <v>35</v>
      </c>
      <c r="F42" s="16"/>
      <c r="G42" s="16"/>
    </row>
    <row r="43" spans="1:10" x14ac:dyDescent="0.2">
      <c r="A43" s="16" t="s">
        <v>404</v>
      </c>
      <c r="B43" s="16"/>
      <c r="C43" s="16"/>
      <c r="D43" s="16">
        <f>241.31*(8*26)</f>
        <v>50192.480000000003</v>
      </c>
      <c r="E43" s="16" t="s">
        <v>36</v>
      </c>
      <c r="F43" s="16"/>
      <c r="G43" s="16"/>
    </row>
    <row r="44" spans="1:10" x14ac:dyDescent="0.2">
      <c r="A44" s="70" t="s">
        <v>93</v>
      </c>
      <c r="B44" s="70"/>
      <c r="C44" s="70"/>
      <c r="D44" s="16">
        <f>ROUND(+D43*D42,2)</f>
        <v>50192.480000000003</v>
      </c>
      <c r="E44" s="16" t="s">
        <v>37</v>
      </c>
      <c r="F44" s="16"/>
      <c r="G44" s="16"/>
    </row>
    <row r="45" spans="1:10" x14ac:dyDescent="0.2">
      <c r="A45" s="16"/>
      <c r="B45" s="16"/>
      <c r="C45" s="16"/>
      <c r="D45" s="16"/>
      <c r="E45" s="16"/>
      <c r="F45" s="16"/>
      <c r="G45" s="16"/>
    </row>
    <row r="46" spans="1:10" x14ac:dyDescent="0.2">
      <c r="A46" s="31" t="s">
        <v>188</v>
      </c>
      <c r="B46" s="31"/>
      <c r="C46" s="31"/>
      <c r="D46" s="31" t="e">
        <f>ROUND(D32+D36+D40+D44,2)</f>
        <v>#REF!</v>
      </c>
      <c r="E46" s="31" t="s">
        <v>130</v>
      </c>
      <c r="F46" s="16"/>
      <c r="G46" s="16"/>
    </row>
    <row r="47" spans="1:10" x14ac:dyDescent="0.2">
      <c r="A47" s="16"/>
      <c r="B47" s="16"/>
      <c r="C47" s="16"/>
      <c r="D47" s="16"/>
      <c r="E47" s="16"/>
      <c r="F47" s="16"/>
      <c r="G47" s="16"/>
    </row>
    <row r="48" spans="1:10" x14ac:dyDescent="0.2">
      <c r="A48" s="87" t="s">
        <v>161</v>
      </c>
      <c r="B48" s="75"/>
      <c r="C48" s="75"/>
      <c r="D48" s="76"/>
      <c r="E48" s="16"/>
      <c r="F48" s="16"/>
      <c r="G48" s="11"/>
    </row>
    <row r="49" spans="1:7" x14ac:dyDescent="0.2">
      <c r="A49" s="75"/>
      <c r="B49" s="75"/>
      <c r="C49" s="75"/>
      <c r="D49" s="76"/>
      <c r="E49" s="16"/>
      <c r="F49" s="16"/>
      <c r="G49" s="11"/>
    </row>
    <row r="50" spans="1:7" x14ac:dyDescent="0.2">
      <c r="A50" s="22" t="s">
        <v>112</v>
      </c>
      <c r="B50" s="77">
        <v>3</v>
      </c>
      <c r="C50" s="74" t="s">
        <v>113</v>
      </c>
      <c r="D50" s="16">
        <v>18</v>
      </c>
      <c r="E50" s="16" t="s">
        <v>37</v>
      </c>
      <c r="F50" s="16"/>
      <c r="G50" s="16"/>
    </row>
    <row r="51" spans="1:7" x14ac:dyDescent="0.2">
      <c r="A51" s="16" t="s">
        <v>98</v>
      </c>
      <c r="B51" s="77">
        <v>3</v>
      </c>
      <c r="C51" s="74" t="s">
        <v>113</v>
      </c>
      <c r="D51" s="16">
        <v>65</v>
      </c>
      <c r="E51" s="16" t="s">
        <v>37</v>
      </c>
      <c r="F51" s="16"/>
      <c r="G51" s="16"/>
    </row>
    <row r="52" spans="1:7" x14ac:dyDescent="0.2">
      <c r="A52" s="16" t="s">
        <v>100</v>
      </c>
      <c r="B52" s="73">
        <v>3</v>
      </c>
      <c r="C52" s="74" t="s">
        <v>113</v>
      </c>
      <c r="D52" s="16">
        <v>18</v>
      </c>
      <c r="E52" s="16" t="s">
        <v>37</v>
      </c>
      <c r="F52" s="16"/>
      <c r="G52" s="16"/>
    </row>
    <row r="53" spans="1:7" x14ac:dyDescent="0.2">
      <c r="A53" s="16" t="s">
        <v>117</v>
      </c>
      <c r="B53" s="73">
        <v>3</v>
      </c>
      <c r="C53" s="74" t="s">
        <v>113</v>
      </c>
      <c r="D53" s="16">
        <v>18</v>
      </c>
      <c r="E53" s="16" t="s">
        <v>37</v>
      </c>
      <c r="F53" s="16"/>
      <c r="G53" s="16"/>
    </row>
    <row r="54" spans="1:7" x14ac:dyDescent="0.2">
      <c r="A54" s="16" t="s">
        <v>102</v>
      </c>
      <c r="B54" s="73"/>
      <c r="C54" s="74" t="s">
        <v>113</v>
      </c>
      <c r="D54" s="16">
        <v>0</v>
      </c>
      <c r="E54" s="16" t="s">
        <v>37</v>
      </c>
      <c r="F54" s="16"/>
      <c r="G54" s="16"/>
    </row>
    <row r="55" spans="1:7" x14ac:dyDescent="0.2">
      <c r="A55" s="16" t="s">
        <v>125</v>
      </c>
      <c r="B55" s="73"/>
      <c r="C55" s="74" t="s">
        <v>113</v>
      </c>
      <c r="D55" s="16">
        <v>0</v>
      </c>
      <c r="E55" s="16" t="s">
        <v>37</v>
      </c>
      <c r="F55" s="16"/>
      <c r="G55" s="16"/>
    </row>
    <row r="56" spans="1:7" x14ac:dyDescent="0.2">
      <c r="A56" s="16" t="s">
        <v>119</v>
      </c>
      <c r="B56" s="73">
        <v>3</v>
      </c>
      <c r="C56" s="74" t="s">
        <v>113</v>
      </c>
      <c r="D56" s="16">
        <v>60</v>
      </c>
      <c r="E56" s="16" t="s">
        <v>37</v>
      </c>
      <c r="F56" s="16"/>
      <c r="G56" s="16"/>
    </row>
    <row r="57" spans="1:7" x14ac:dyDescent="0.2">
      <c r="A57" s="16" t="s">
        <v>213</v>
      </c>
      <c r="B57" s="16"/>
      <c r="C57" s="16"/>
      <c r="D57" s="16">
        <f>ROUND(SUM(D50:D56),2)</f>
        <v>179</v>
      </c>
      <c r="E57" s="16" t="s">
        <v>71</v>
      </c>
      <c r="F57" s="16"/>
      <c r="G57" s="16"/>
    </row>
    <row r="58" spans="1:7" hidden="1" x14ac:dyDescent="0.2">
      <c r="A58" s="16" t="s">
        <v>72</v>
      </c>
      <c r="B58" s="16"/>
      <c r="C58" s="16"/>
      <c r="D58" s="79"/>
      <c r="E58" s="16"/>
      <c r="F58" s="16"/>
      <c r="G58" s="16"/>
    </row>
    <row r="59" spans="1:7" hidden="1" x14ac:dyDescent="0.2">
      <c r="A59" s="16" t="s">
        <v>57</v>
      </c>
      <c r="B59" s="16"/>
      <c r="C59" s="16"/>
      <c r="D59" s="16" t="e">
        <f>ROUND(D58*#REF!,2)</f>
        <v>#REF!</v>
      </c>
      <c r="E59" s="16" t="s">
        <v>71</v>
      </c>
      <c r="F59" s="16"/>
      <c r="G59" s="16"/>
    </row>
    <row r="60" spans="1:7" hidden="1" x14ac:dyDescent="0.2">
      <c r="A60" s="16"/>
      <c r="B60" s="73"/>
      <c r="C60" s="74"/>
      <c r="D60" s="16"/>
      <c r="E60" s="16"/>
      <c r="F60" s="16"/>
      <c r="G60" s="16"/>
    </row>
    <row r="61" spans="1:7" x14ac:dyDescent="0.2">
      <c r="A61" s="16"/>
      <c r="B61" s="16"/>
      <c r="C61" s="16"/>
      <c r="D61" s="16"/>
      <c r="E61" s="16"/>
      <c r="F61" s="16"/>
      <c r="G61" s="16"/>
    </row>
    <row r="62" spans="1:7" x14ac:dyDescent="0.2">
      <c r="A62" s="31" t="s">
        <v>189</v>
      </c>
      <c r="B62" s="31"/>
      <c r="C62" s="31"/>
      <c r="D62" s="31">
        <f>D57</f>
        <v>179</v>
      </c>
      <c r="E62" s="31" t="s">
        <v>130</v>
      </c>
      <c r="F62" s="16"/>
      <c r="G62" s="16"/>
    </row>
    <row r="63" spans="1:7" x14ac:dyDescent="0.2">
      <c r="A63" s="16"/>
      <c r="B63" s="16"/>
      <c r="C63" s="16"/>
      <c r="D63" s="16"/>
      <c r="E63" s="16"/>
      <c r="F63" s="16"/>
      <c r="G63" s="16"/>
    </row>
    <row r="64" spans="1:7" x14ac:dyDescent="0.2">
      <c r="A64" s="71" t="s">
        <v>66</v>
      </c>
      <c r="B64" s="72"/>
      <c r="C64" s="72"/>
      <c r="D64" s="16"/>
      <c r="E64" s="16"/>
      <c r="F64" s="16"/>
      <c r="G64" s="16"/>
    </row>
    <row r="65" spans="1:19" x14ac:dyDescent="0.2">
      <c r="A65" s="72"/>
      <c r="B65" s="72"/>
      <c r="C65" s="72"/>
      <c r="D65" s="16"/>
      <c r="E65" s="16"/>
      <c r="F65" s="16"/>
      <c r="G65" s="16"/>
    </row>
    <row r="66" spans="1:19" x14ac:dyDescent="0.2">
      <c r="A66" s="16" t="s">
        <v>68</v>
      </c>
      <c r="B66" s="16"/>
      <c r="C66" s="16"/>
      <c r="D66" s="16">
        <f>+D26</f>
        <v>71564.53</v>
      </c>
      <c r="E66" s="16" t="s">
        <v>37</v>
      </c>
      <c r="F66" s="16"/>
      <c r="G66" s="16"/>
      <c r="I66" s="59" t="e">
        <f>(D66/$D$71)*100</f>
        <v>#REF!</v>
      </c>
    </row>
    <row r="67" spans="1:19" x14ac:dyDescent="0.2">
      <c r="A67" s="16" t="s">
        <v>58</v>
      </c>
      <c r="B67" s="16"/>
      <c r="C67" s="16"/>
      <c r="D67" s="16" t="e">
        <f>D46</f>
        <v>#REF!</v>
      </c>
      <c r="E67" s="16" t="s">
        <v>37</v>
      </c>
      <c r="F67" s="16"/>
      <c r="G67" s="16"/>
      <c r="I67" s="59" t="e">
        <f>(D67/$D$71)*100</f>
        <v>#REF!</v>
      </c>
    </row>
    <row r="68" spans="1:19" x14ac:dyDescent="0.2">
      <c r="A68" s="16" t="s">
        <v>67</v>
      </c>
      <c r="B68" s="16"/>
      <c r="C68" s="16"/>
      <c r="D68" s="16">
        <f>D62</f>
        <v>179</v>
      </c>
      <c r="E68" s="16" t="s">
        <v>37</v>
      </c>
      <c r="F68" s="16"/>
      <c r="G68" s="16"/>
      <c r="I68" s="59" t="e">
        <f>(D68/$D$71)*100</f>
        <v>#REF!</v>
      </c>
    </row>
    <row r="69" spans="1:19" x14ac:dyDescent="0.2">
      <c r="A69" s="16" t="s">
        <v>421</v>
      </c>
      <c r="B69" s="170">
        <v>0</v>
      </c>
      <c r="C69" s="16"/>
      <c r="D69" s="16">
        <f>B69*'Adm1'!C177</f>
        <v>0</v>
      </c>
      <c r="E69" s="16" t="s">
        <v>37</v>
      </c>
      <c r="F69" s="16"/>
      <c r="G69" s="16"/>
      <c r="I69" s="59"/>
    </row>
    <row r="70" spans="1:19" x14ac:dyDescent="0.2">
      <c r="A70" s="16"/>
      <c r="B70" s="16"/>
      <c r="C70" s="16"/>
      <c r="D70" s="16"/>
      <c r="E70" s="16"/>
      <c r="F70" s="16"/>
      <c r="G70" s="16"/>
    </row>
    <row r="71" spans="1:19" x14ac:dyDescent="0.2">
      <c r="A71" s="31" t="s">
        <v>185</v>
      </c>
      <c r="B71" s="31"/>
      <c r="C71" s="31"/>
      <c r="D71" s="31" t="e">
        <f>ROUND(SUM(D66:D69),2)</f>
        <v>#REF!</v>
      </c>
      <c r="E71" s="31" t="s">
        <v>130</v>
      </c>
      <c r="F71" s="16"/>
      <c r="G71" s="16"/>
      <c r="J71" s="11" t="e">
        <f>59562/#REF!</f>
        <v>#REF!</v>
      </c>
    </row>
    <row r="72" spans="1:19" x14ac:dyDescent="0.2">
      <c r="A72" s="16"/>
      <c r="B72" s="16"/>
      <c r="C72" s="16"/>
      <c r="D72" s="16" t="s">
        <v>8</v>
      </c>
      <c r="E72" s="16"/>
      <c r="F72" s="16"/>
      <c r="G72" s="16"/>
    </row>
    <row r="73" spans="1:19" s="94" customFormat="1" x14ac:dyDescent="0.2">
      <c r="A73" s="105" t="s">
        <v>376</v>
      </c>
      <c r="B73" s="144">
        <f>BDI!C12/100</f>
        <v>2.9709999999999997E-3</v>
      </c>
      <c r="C73" s="105"/>
      <c r="D73" s="134" t="e">
        <f>D75-D71</f>
        <v>#REF!</v>
      </c>
      <c r="E73" s="105" t="s">
        <v>130</v>
      </c>
      <c r="F73" s="16"/>
      <c r="G73" s="16"/>
      <c r="H73" s="134"/>
      <c r="I73" s="105"/>
      <c r="J73" s="38"/>
      <c r="K73" s="65">
        <v>0</v>
      </c>
      <c r="Q73" s="142"/>
      <c r="S73" s="120"/>
    </row>
    <row r="74" spans="1:19" x14ac:dyDescent="0.2">
      <c r="A74" s="16"/>
      <c r="B74" s="16"/>
      <c r="C74" s="16"/>
      <c r="D74" s="16"/>
      <c r="E74" s="16"/>
      <c r="F74" s="16"/>
      <c r="G74" s="16"/>
      <c r="H74" s="123"/>
      <c r="I74" s="124"/>
      <c r="J74" s="16"/>
    </row>
    <row r="75" spans="1:19" x14ac:dyDescent="0.2">
      <c r="A75" s="81" t="s">
        <v>377</v>
      </c>
      <c r="B75" s="84"/>
      <c r="C75" s="84"/>
      <c r="D75" s="31" t="e">
        <f>D71*BDI!C24</f>
        <v>#REF!</v>
      </c>
      <c r="E75" s="31" t="s">
        <v>37</v>
      </c>
      <c r="F75" s="16"/>
      <c r="G75" s="16"/>
      <c r="H75" s="122"/>
      <c r="I75" s="121"/>
      <c r="J75" s="16"/>
      <c r="K75" s="83">
        <v>0.91349999999999998</v>
      </c>
      <c r="L75" s="11">
        <f>20*30</f>
        <v>600</v>
      </c>
      <c r="M75" s="11">
        <f>10*30</f>
        <v>300</v>
      </c>
      <c r="O75" s="11">
        <f>110*9</f>
        <v>990</v>
      </c>
    </row>
    <row r="76" spans="1:19" ht="12.95" customHeight="1" x14ac:dyDescent="0.2">
      <c r="A76" s="82" t="s">
        <v>378</v>
      </c>
      <c r="B76" s="31"/>
      <c r="C76" s="31"/>
      <c r="D76" s="31">
        <f>DOMICILIAR!D103</f>
        <v>3496.46</v>
      </c>
      <c r="E76" s="31" t="s">
        <v>219</v>
      </c>
      <c r="F76" s="16"/>
      <c r="G76" s="16"/>
      <c r="H76" s="16">
        <f>((84000*0.52)*26)/1000</f>
        <v>1135.68</v>
      </c>
      <c r="I76" s="16"/>
    </row>
    <row r="77" spans="1:19" ht="14.25" customHeight="1" x14ac:dyDescent="0.2">
      <c r="A77" s="82" t="s">
        <v>299</v>
      </c>
      <c r="B77" s="31"/>
      <c r="C77" s="31"/>
      <c r="D77" s="31" t="e">
        <f>ROUND(D75/D76,2)</f>
        <v>#REF!</v>
      </c>
      <c r="E77" s="84" t="s">
        <v>214</v>
      </c>
      <c r="F77" s="134"/>
      <c r="G77" s="105"/>
      <c r="H77" s="59" t="e">
        <f>#REF!/H76</f>
        <v>#REF!</v>
      </c>
      <c r="I77" s="16"/>
    </row>
    <row r="78" spans="1:19" x14ac:dyDescent="0.2">
      <c r="A78" s="16"/>
      <c r="B78" s="16"/>
      <c r="C78" s="16"/>
      <c r="D78" s="16"/>
      <c r="E78" s="16"/>
      <c r="F78" s="16"/>
      <c r="G78" s="16"/>
    </row>
    <row r="79" spans="1:19" x14ac:dyDescent="0.2">
      <c r="A79" s="88"/>
      <c r="B79" s="88"/>
      <c r="C79" s="88"/>
      <c r="G79" s="16"/>
    </row>
    <row r="80" spans="1:19" x14ac:dyDescent="0.2">
      <c r="D80" s="16"/>
      <c r="G80" s="16"/>
    </row>
    <row r="81" spans="4:7" x14ac:dyDescent="0.2">
      <c r="G81" s="16"/>
    </row>
    <row r="82" spans="4:7" x14ac:dyDescent="0.2">
      <c r="D82" s="16" t="e">
        <f>#REF!-D71</f>
        <v>#REF!</v>
      </c>
    </row>
    <row r="83" spans="4:7" x14ac:dyDescent="0.2">
      <c r="D83" s="13" t="e">
        <f>D82/D71</f>
        <v>#REF!</v>
      </c>
    </row>
    <row r="85" spans="4:7" x14ac:dyDescent="0.2">
      <c r="D85" s="89" t="e">
        <f>#REF!-#REF!</f>
        <v>#REF!</v>
      </c>
    </row>
    <row r="86" spans="4:7" x14ac:dyDescent="0.2">
      <c r="D86" s="89"/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72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12FC3-31AB-49C2-8C6A-89835EA730C3}">
  <dimension ref="A1:I43"/>
  <sheetViews>
    <sheetView view="pageBreakPreview" zoomScaleNormal="100" zoomScaleSheetLayoutView="100" workbookViewId="0">
      <selection activeCell="C33" sqref="C33"/>
    </sheetView>
  </sheetViews>
  <sheetFormatPr defaultColWidth="8.83203125" defaultRowHeight="11.25" x14ac:dyDescent="0.2"/>
  <cols>
    <col min="1" max="9" width="10.83203125" style="303" customWidth="1"/>
    <col min="10" max="12" width="12.83203125" style="303" customWidth="1"/>
    <col min="13" max="16384" width="8.83203125" style="303"/>
  </cols>
  <sheetData>
    <row r="1" spans="1:9" ht="18" customHeight="1" x14ac:dyDescent="0.2"/>
    <row r="2" spans="1:9" ht="24" customHeight="1" x14ac:dyDescent="0.2">
      <c r="A2" s="333" t="s">
        <v>762</v>
      </c>
      <c r="B2" s="334" t="s">
        <v>763</v>
      </c>
      <c r="C2" s="334"/>
      <c r="D2" s="334"/>
      <c r="E2" s="334"/>
      <c r="F2" s="334"/>
      <c r="G2" s="334"/>
      <c r="H2" s="334"/>
      <c r="I2" s="334"/>
    </row>
    <row r="3" spans="1:9" s="305" customFormat="1" ht="24" customHeight="1" x14ac:dyDescent="0.2">
      <c r="A3" s="333"/>
      <c r="B3" s="304" t="s">
        <v>710</v>
      </c>
      <c r="C3" s="301" t="s">
        <v>764</v>
      </c>
      <c r="D3" s="301" t="s">
        <v>765</v>
      </c>
      <c r="E3" s="301" t="s">
        <v>711</v>
      </c>
      <c r="F3" s="301" t="s">
        <v>766</v>
      </c>
      <c r="G3" s="301" t="s">
        <v>767</v>
      </c>
      <c r="H3" s="301" t="s">
        <v>768</v>
      </c>
      <c r="I3" s="301" t="s">
        <v>769</v>
      </c>
    </row>
    <row r="4" spans="1:9" ht="24" customHeight="1" x14ac:dyDescent="0.2">
      <c r="A4" s="304" t="s">
        <v>770</v>
      </c>
      <c r="B4" s="306">
        <v>13</v>
      </c>
      <c r="C4" s="306">
        <v>13</v>
      </c>
      <c r="D4" s="306">
        <v>16.5</v>
      </c>
      <c r="E4" s="306">
        <v>19</v>
      </c>
      <c r="F4" s="306">
        <v>27.5</v>
      </c>
      <c r="G4" s="306">
        <v>27.5</v>
      </c>
      <c r="H4" s="306"/>
      <c r="I4" s="306"/>
    </row>
    <row r="5" spans="1:9" ht="24" customHeight="1" x14ac:dyDescent="0.2">
      <c r="A5" s="301" t="s">
        <v>771</v>
      </c>
      <c r="B5" s="307" t="s">
        <v>772</v>
      </c>
      <c r="C5" s="307" t="s">
        <v>772</v>
      </c>
      <c r="D5" s="307" t="s">
        <v>772</v>
      </c>
      <c r="E5" s="307" t="s">
        <v>772</v>
      </c>
      <c r="F5" s="307" t="s">
        <v>772</v>
      </c>
      <c r="G5" s="307" t="s">
        <v>772</v>
      </c>
      <c r="H5" s="306"/>
      <c r="I5" s="306"/>
    </row>
    <row r="6" spans="1:9" ht="24" customHeight="1" x14ac:dyDescent="0.2">
      <c r="A6" s="301" t="s">
        <v>773</v>
      </c>
      <c r="B6" s="308">
        <v>845.21</v>
      </c>
      <c r="C6" s="308">
        <v>845.21</v>
      </c>
      <c r="D6" s="308">
        <v>845.21</v>
      </c>
      <c r="E6" s="308">
        <v>845.21</v>
      </c>
      <c r="F6" s="308">
        <v>845.21</v>
      </c>
      <c r="G6" s="308">
        <v>845.21</v>
      </c>
      <c r="H6" s="306"/>
      <c r="I6" s="306"/>
    </row>
    <row r="7" spans="1:9" ht="24" customHeight="1" x14ac:dyDescent="0.2">
      <c r="A7" s="301" t="s">
        <v>774</v>
      </c>
      <c r="B7" s="308">
        <f t="shared" ref="B7:G7" si="0">B6/20</f>
        <v>42.2605</v>
      </c>
      <c r="C7" s="308">
        <f t="shared" si="0"/>
        <v>42.2605</v>
      </c>
      <c r="D7" s="308">
        <f t="shared" si="0"/>
        <v>42.2605</v>
      </c>
      <c r="E7" s="308">
        <f t="shared" si="0"/>
        <v>42.2605</v>
      </c>
      <c r="F7" s="308">
        <f t="shared" si="0"/>
        <v>42.2605</v>
      </c>
      <c r="G7" s="308">
        <f t="shared" si="0"/>
        <v>42.2605</v>
      </c>
      <c r="H7" s="306"/>
      <c r="I7" s="306"/>
    </row>
    <row r="8" spans="1:9" ht="24" customHeight="1" x14ac:dyDescent="0.2">
      <c r="A8" s="301" t="s">
        <v>775</v>
      </c>
      <c r="B8" s="308">
        <v>20000</v>
      </c>
      <c r="C8" s="308">
        <v>20000</v>
      </c>
      <c r="D8" s="308">
        <v>20000</v>
      </c>
      <c r="E8" s="308">
        <v>20000</v>
      </c>
      <c r="F8" s="308">
        <v>20000</v>
      </c>
      <c r="G8" s="308">
        <v>20000</v>
      </c>
      <c r="H8" s="306"/>
      <c r="I8" s="306"/>
    </row>
    <row r="9" spans="1:9" ht="24" customHeight="1" x14ac:dyDescent="0.2">
      <c r="A9" s="301" t="s">
        <v>776</v>
      </c>
      <c r="B9" s="308">
        <f>(B4*B7)/B8</f>
        <v>2.7469324999999999E-2</v>
      </c>
      <c r="C9" s="308">
        <f>(C4*C7)/C8</f>
        <v>2.7469324999999999E-2</v>
      </c>
      <c r="D9" s="308">
        <f>(D4*D7)/D8</f>
        <v>3.4864912500000005E-2</v>
      </c>
      <c r="E9" s="308">
        <f t="shared" ref="E9:F9" si="1">(E4*E7)/E8</f>
        <v>4.0147475000000002E-2</v>
      </c>
      <c r="F9" s="308">
        <f t="shared" si="1"/>
        <v>5.8108187499999998E-2</v>
      </c>
      <c r="G9" s="308">
        <f>(G4*G7)/G8</f>
        <v>5.8108187499999998E-2</v>
      </c>
      <c r="H9" s="306"/>
      <c r="I9" s="306"/>
    </row>
    <row r="10" spans="1:9" ht="24" customHeight="1" x14ac:dyDescent="0.2">
      <c r="A10" s="301" t="s">
        <v>777</v>
      </c>
      <c r="B10" s="308">
        <v>481</v>
      </c>
      <c r="C10" s="308">
        <v>481</v>
      </c>
      <c r="D10" s="308">
        <v>481</v>
      </c>
      <c r="E10" s="308">
        <v>481</v>
      </c>
      <c r="F10" s="308">
        <v>481</v>
      </c>
      <c r="G10" s="308">
        <v>481</v>
      </c>
      <c r="H10" s="306"/>
      <c r="I10" s="306"/>
    </row>
    <row r="11" spans="1:9" ht="24" customHeight="1" x14ac:dyDescent="0.2">
      <c r="A11" s="301" t="s">
        <v>776</v>
      </c>
      <c r="B11" s="308">
        <f>B10/B8</f>
        <v>2.4049999999999998E-2</v>
      </c>
      <c r="C11" s="308">
        <f t="shared" ref="C11:G11" si="2">C10/C8</f>
        <v>2.4049999999999998E-2</v>
      </c>
      <c r="D11" s="308">
        <f t="shared" si="2"/>
        <v>2.4049999999999998E-2</v>
      </c>
      <c r="E11" s="308">
        <f t="shared" si="2"/>
        <v>2.4049999999999998E-2</v>
      </c>
      <c r="F11" s="308">
        <f t="shared" si="2"/>
        <v>2.4049999999999998E-2</v>
      </c>
      <c r="G11" s="308">
        <f t="shared" si="2"/>
        <v>2.4049999999999998E-2</v>
      </c>
      <c r="H11" s="306"/>
      <c r="I11" s="306"/>
    </row>
    <row r="12" spans="1:9" ht="24" customHeight="1" x14ac:dyDescent="0.2">
      <c r="A12" s="301" t="s">
        <v>778</v>
      </c>
      <c r="B12" s="308">
        <v>3.2</v>
      </c>
      <c r="C12" s="306">
        <v>3.2</v>
      </c>
      <c r="D12" s="306">
        <v>9.1999999999999993</v>
      </c>
      <c r="E12" s="306">
        <v>9.1999999999999993</v>
      </c>
      <c r="F12" s="306">
        <v>13</v>
      </c>
      <c r="G12" s="306">
        <v>14.5</v>
      </c>
      <c r="H12" s="306"/>
      <c r="I12" s="306"/>
    </row>
    <row r="13" spans="1:9" ht="24" customHeight="1" x14ac:dyDescent="0.2">
      <c r="A13" s="301" t="s">
        <v>771</v>
      </c>
      <c r="B13" s="307" t="s">
        <v>779</v>
      </c>
      <c r="C13" s="307" t="s">
        <v>779</v>
      </c>
      <c r="D13" s="307" t="s">
        <v>779</v>
      </c>
      <c r="E13" s="307" t="s">
        <v>779</v>
      </c>
      <c r="F13" s="307" t="s">
        <v>779</v>
      </c>
      <c r="G13" s="307" t="s">
        <v>779</v>
      </c>
      <c r="H13" s="306"/>
      <c r="I13" s="306"/>
    </row>
    <row r="14" spans="1:9" ht="24" customHeight="1" x14ac:dyDescent="0.2">
      <c r="A14" s="301" t="s">
        <v>780</v>
      </c>
      <c r="B14" s="309">
        <v>84.68</v>
      </c>
      <c r="C14" s="309">
        <v>84.68</v>
      </c>
      <c r="D14" s="309">
        <v>84.68</v>
      </c>
      <c r="E14" s="309">
        <v>84.68</v>
      </c>
      <c r="F14" s="309">
        <v>84.68</v>
      </c>
      <c r="G14" s="309">
        <v>84.68</v>
      </c>
      <c r="H14" s="306"/>
      <c r="I14" s="306"/>
    </row>
    <row r="15" spans="1:9" ht="24" customHeight="1" x14ac:dyDescent="0.2">
      <c r="A15" s="301" t="s">
        <v>774</v>
      </c>
      <c r="B15" s="308">
        <f t="shared" ref="B15:G15" si="3">B14/1</f>
        <v>84.68</v>
      </c>
      <c r="C15" s="308">
        <f t="shared" si="3"/>
        <v>84.68</v>
      </c>
      <c r="D15" s="308">
        <f t="shared" si="3"/>
        <v>84.68</v>
      </c>
      <c r="E15" s="308">
        <f t="shared" si="3"/>
        <v>84.68</v>
      </c>
      <c r="F15" s="308">
        <f t="shared" si="3"/>
        <v>84.68</v>
      </c>
      <c r="G15" s="308">
        <f t="shared" si="3"/>
        <v>84.68</v>
      </c>
      <c r="H15" s="306"/>
      <c r="I15" s="306"/>
    </row>
    <row r="16" spans="1:9" ht="24" customHeight="1" x14ac:dyDescent="0.2">
      <c r="A16" s="301" t="s">
        <v>781</v>
      </c>
      <c r="B16" s="308">
        <f>50000*0.8</f>
        <v>40000</v>
      </c>
      <c r="C16" s="308">
        <f t="shared" ref="C16:G16" si="4">50000*0.8</f>
        <v>40000</v>
      </c>
      <c r="D16" s="308">
        <f t="shared" si="4"/>
        <v>40000</v>
      </c>
      <c r="E16" s="308">
        <f t="shared" si="4"/>
        <v>40000</v>
      </c>
      <c r="F16" s="308">
        <f t="shared" si="4"/>
        <v>40000</v>
      </c>
      <c r="G16" s="308">
        <f t="shared" si="4"/>
        <v>40000</v>
      </c>
      <c r="H16" s="306"/>
      <c r="I16" s="306"/>
    </row>
    <row r="17" spans="1:9" ht="24" customHeight="1" x14ac:dyDescent="0.2">
      <c r="A17" s="301" t="s">
        <v>776</v>
      </c>
      <c r="B17" s="308">
        <f>(B12*B15)/B16</f>
        <v>6.7744000000000016E-3</v>
      </c>
      <c r="C17" s="308">
        <f>(C12*C15)/C16</f>
        <v>6.7744000000000016E-3</v>
      </c>
      <c r="D17" s="308">
        <f>(D12*D15)/D16</f>
        <v>1.9476400000000001E-2</v>
      </c>
      <c r="E17" s="308">
        <f t="shared" ref="E17:G17" si="5">(E12*E15)/E16</f>
        <v>1.9476400000000001E-2</v>
      </c>
      <c r="F17" s="308">
        <f t="shared" si="5"/>
        <v>2.7521000000000004E-2</v>
      </c>
      <c r="G17" s="308">
        <f t="shared" si="5"/>
        <v>3.0696500000000002E-2</v>
      </c>
      <c r="H17" s="306"/>
      <c r="I17" s="306"/>
    </row>
    <row r="18" spans="1:9" ht="24" customHeight="1" x14ac:dyDescent="0.2">
      <c r="A18" s="301" t="s">
        <v>782</v>
      </c>
      <c r="B18" s="308">
        <v>3.8</v>
      </c>
      <c r="C18" s="306">
        <v>9</v>
      </c>
      <c r="D18" s="306">
        <v>15</v>
      </c>
      <c r="E18" s="306">
        <v>21</v>
      </c>
      <c r="F18" s="306">
        <v>21</v>
      </c>
      <c r="G18" s="306">
        <v>21</v>
      </c>
      <c r="H18" s="306"/>
      <c r="I18" s="306"/>
    </row>
    <row r="19" spans="1:9" ht="24" customHeight="1" x14ac:dyDescent="0.2">
      <c r="A19" s="301" t="s">
        <v>771</v>
      </c>
      <c r="B19" s="307" t="s">
        <v>783</v>
      </c>
      <c r="C19" s="307" t="s">
        <v>783</v>
      </c>
      <c r="D19" s="307" t="s">
        <v>783</v>
      </c>
      <c r="E19" s="307" t="s">
        <v>783</v>
      </c>
      <c r="F19" s="307" t="s">
        <v>783</v>
      </c>
      <c r="G19" s="307" t="s">
        <v>779</v>
      </c>
      <c r="H19" s="306"/>
      <c r="I19" s="306"/>
    </row>
    <row r="20" spans="1:9" ht="24" customHeight="1" x14ac:dyDescent="0.2">
      <c r="A20" s="301" t="s">
        <v>784</v>
      </c>
      <c r="B20" s="309">
        <v>46.78</v>
      </c>
      <c r="C20" s="309">
        <v>46.78</v>
      </c>
      <c r="D20" s="309">
        <v>46.78</v>
      </c>
      <c r="E20" s="309">
        <v>46.78</v>
      </c>
      <c r="F20" s="309">
        <v>46.78</v>
      </c>
      <c r="G20" s="309">
        <v>84.68</v>
      </c>
      <c r="H20" s="306"/>
      <c r="I20" s="306"/>
    </row>
    <row r="21" spans="1:9" ht="24" customHeight="1" x14ac:dyDescent="0.2">
      <c r="A21" s="301" t="s">
        <v>774</v>
      </c>
      <c r="B21" s="308">
        <f t="shared" ref="B21:G21" si="6">B20/1</f>
        <v>46.78</v>
      </c>
      <c r="C21" s="308">
        <f t="shared" si="6"/>
        <v>46.78</v>
      </c>
      <c r="D21" s="308">
        <f t="shared" si="6"/>
        <v>46.78</v>
      </c>
      <c r="E21" s="308">
        <f t="shared" si="6"/>
        <v>46.78</v>
      </c>
      <c r="F21" s="308">
        <f t="shared" si="6"/>
        <v>46.78</v>
      </c>
      <c r="G21" s="308">
        <f t="shared" si="6"/>
        <v>84.68</v>
      </c>
      <c r="H21" s="306"/>
      <c r="I21" s="306"/>
    </row>
    <row r="22" spans="1:9" ht="24" customHeight="1" x14ac:dyDescent="0.2">
      <c r="A22" s="301" t="s">
        <v>781</v>
      </c>
      <c r="B22" s="308">
        <f>50000*0.8</f>
        <v>40000</v>
      </c>
      <c r="C22" s="308">
        <f t="shared" ref="C22:G22" si="7">50000*0.8</f>
        <v>40000</v>
      </c>
      <c r="D22" s="308">
        <f t="shared" si="7"/>
        <v>40000</v>
      </c>
      <c r="E22" s="308">
        <f t="shared" si="7"/>
        <v>40000</v>
      </c>
      <c r="F22" s="308">
        <f t="shared" si="7"/>
        <v>40000</v>
      </c>
      <c r="G22" s="308">
        <f t="shared" si="7"/>
        <v>40000</v>
      </c>
      <c r="H22" s="306"/>
      <c r="I22" s="306"/>
    </row>
    <row r="23" spans="1:9" ht="24" customHeight="1" x14ac:dyDescent="0.2">
      <c r="A23" s="301" t="s">
        <v>776</v>
      </c>
      <c r="B23" s="308">
        <f>(B18*B21)/B22</f>
        <v>4.4441000000000003E-3</v>
      </c>
      <c r="C23" s="308">
        <f>(C18*C21)/C22</f>
        <v>1.05255E-2</v>
      </c>
      <c r="D23" s="308">
        <f>(D18*D21)/D22</f>
        <v>1.7542500000000003E-2</v>
      </c>
      <c r="E23" s="308">
        <f t="shared" ref="E23:G23" si="8">(E18*E21)/E22</f>
        <v>2.4559500000000001E-2</v>
      </c>
      <c r="F23" s="308">
        <f t="shared" si="8"/>
        <v>2.4559500000000001E-2</v>
      </c>
      <c r="G23" s="308">
        <f t="shared" si="8"/>
        <v>4.4457000000000003E-2</v>
      </c>
      <c r="H23" s="306"/>
      <c r="I23" s="306"/>
    </row>
    <row r="24" spans="1:9" ht="24" customHeight="1" x14ac:dyDescent="0.2">
      <c r="A24" s="301" t="s">
        <v>785</v>
      </c>
      <c r="B24" s="308">
        <v>23</v>
      </c>
      <c r="C24" s="306">
        <v>23</v>
      </c>
      <c r="D24" s="306">
        <v>60</v>
      </c>
      <c r="E24" s="306">
        <v>60</v>
      </c>
      <c r="F24" s="306">
        <v>60</v>
      </c>
      <c r="G24" s="306">
        <v>60</v>
      </c>
      <c r="H24" s="306"/>
      <c r="I24" s="306"/>
    </row>
    <row r="25" spans="1:9" ht="24" customHeight="1" x14ac:dyDescent="0.2">
      <c r="A25" s="301" t="s">
        <v>786</v>
      </c>
      <c r="B25" s="307" t="s">
        <v>787</v>
      </c>
      <c r="C25" s="307" t="s">
        <v>787</v>
      </c>
      <c r="D25" s="307" t="s">
        <v>787</v>
      </c>
      <c r="E25" s="307" t="s">
        <v>787</v>
      </c>
      <c r="F25" s="307" t="s">
        <v>787</v>
      </c>
      <c r="G25" s="307" t="s">
        <v>787</v>
      </c>
      <c r="H25" s="306"/>
      <c r="I25" s="306"/>
    </row>
    <row r="26" spans="1:9" ht="24" customHeight="1" x14ac:dyDescent="0.2">
      <c r="A26" s="301" t="s">
        <v>788</v>
      </c>
      <c r="B26" s="309">
        <v>127.9</v>
      </c>
      <c r="C26" s="309">
        <v>127.9</v>
      </c>
      <c r="D26" s="309">
        <v>127.9</v>
      </c>
      <c r="E26" s="309">
        <v>127.9</v>
      </c>
      <c r="F26" s="309">
        <v>127.9</v>
      </c>
      <c r="G26" s="309">
        <v>127.9</v>
      </c>
      <c r="H26" s="306"/>
      <c r="I26" s="306"/>
    </row>
    <row r="27" spans="1:9" ht="24" customHeight="1" x14ac:dyDescent="0.2">
      <c r="A27" s="301" t="s">
        <v>774</v>
      </c>
      <c r="B27" s="308">
        <f t="shared" ref="B27:G27" si="9">B26/20</f>
        <v>6.3950000000000005</v>
      </c>
      <c r="C27" s="308">
        <f t="shared" si="9"/>
        <v>6.3950000000000005</v>
      </c>
      <c r="D27" s="308">
        <f t="shared" si="9"/>
        <v>6.3950000000000005</v>
      </c>
      <c r="E27" s="308">
        <f t="shared" si="9"/>
        <v>6.3950000000000005</v>
      </c>
      <c r="F27" s="308">
        <f t="shared" si="9"/>
        <v>6.3950000000000005</v>
      </c>
      <c r="G27" s="308">
        <f t="shared" si="9"/>
        <v>6.3950000000000005</v>
      </c>
      <c r="H27" s="306"/>
      <c r="I27" s="306"/>
    </row>
    <row r="28" spans="1:9" ht="24" customHeight="1" x14ac:dyDescent="0.2">
      <c r="A28" s="301" t="s">
        <v>789</v>
      </c>
      <c r="B28" s="308">
        <f>(1.5/100)*B27</f>
        <v>9.592500000000001E-2</v>
      </c>
      <c r="C28" s="308">
        <f t="shared" ref="C28:G28" si="10">(1.5/100)*C27</f>
        <v>9.592500000000001E-2</v>
      </c>
      <c r="D28" s="308">
        <f t="shared" si="10"/>
        <v>9.592500000000001E-2</v>
      </c>
      <c r="E28" s="308">
        <f t="shared" si="10"/>
        <v>9.592500000000001E-2</v>
      </c>
      <c r="F28" s="308">
        <f t="shared" si="10"/>
        <v>9.592500000000001E-2</v>
      </c>
      <c r="G28" s="308">
        <f t="shared" si="10"/>
        <v>9.592500000000001E-2</v>
      </c>
      <c r="H28" s="306"/>
      <c r="I28" s="306"/>
    </row>
    <row r="29" spans="1:9" ht="33.75" x14ac:dyDescent="0.2">
      <c r="A29" s="301" t="s">
        <v>790</v>
      </c>
      <c r="B29" s="308">
        <v>150</v>
      </c>
      <c r="C29" s="306">
        <v>150</v>
      </c>
      <c r="D29" s="306">
        <v>275</v>
      </c>
      <c r="E29" s="306">
        <v>275</v>
      </c>
      <c r="F29" s="306">
        <v>275</v>
      </c>
      <c r="G29" s="306">
        <v>275</v>
      </c>
      <c r="H29" s="306"/>
      <c r="I29" s="306"/>
    </row>
    <row r="30" spans="1:9" ht="24" customHeight="1" x14ac:dyDescent="0.2">
      <c r="A30" s="301" t="s">
        <v>791</v>
      </c>
      <c r="B30" s="308"/>
      <c r="C30" s="308"/>
      <c r="D30" s="306"/>
      <c r="E30" s="306"/>
      <c r="F30" s="306"/>
      <c r="G30" s="306"/>
      <c r="H30" s="308">
        <v>100</v>
      </c>
      <c r="I30" s="308">
        <v>160</v>
      </c>
    </row>
    <row r="31" spans="1:9" ht="24" customHeight="1" x14ac:dyDescent="0.2">
      <c r="A31" s="301" t="s">
        <v>792</v>
      </c>
      <c r="B31" s="308"/>
      <c r="C31" s="308"/>
      <c r="D31" s="306"/>
      <c r="E31" s="306"/>
      <c r="F31" s="306"/>
      <c r="G31" s="306"/>
      <c r="H31" s="308">
        <v>140</v>
      </c>
      <c r="I31" s="308">
        <v>200</v>
      </c>
    </row>
    <row r="32" spans="1:9" ht="24" customHeight="1" x14ac:dyDescent="0.2">
      <c r="A32" s="301" t="s">
        <v>786</v>
      </c>
      <c r="B32" s="310"/>
      <c r="C32" s="310"/>
      <c r="D32" s="306"/>
      <c r="E32" s="306"/>
      <c r="F32" s="306"/>
      <c r="G32" s="306"/>
      <c r="H32" s="310" t="s">
        <v>793</v>
      </c>
      <c r="I32" s="310" t="s">
        <v>793</v>
      </c>
    </row>
    <row r="33" spans="1:9" ht="24" customHeight="1" x14ac:dyDescent="0.2">
      <c r="A33" s="301" t="s">
        <v>788</v>
      </c>
      <c r="B33" s="308"/>
      <c r="C33" s="308"/>
      <c r="D33" s="306"/>
      <c r="E33" s="306"/>
      <c r="F33" s="306"/>
      <c r="G33" s="306"/>
      <c r="H33" s="308">
        <v>607.96</v>
      </c>
      <c r="I33" s="308">
        <v>607.96</v>
      </c>
    </row>
    <row r="34" spans="1:9" ht="24" customHeight="1" x14ac:dyDescent="0.2">
      <c r="A34" s="301" t="s">
        <v>774</v>
      </c>
      <c r="B34" s="308"/>
      <c r="C34" s="308"/>
      <c r="D34" s="306"/>
      <c r="E34" s="306"/>
      <c r="F34" s="306"/>
      <c r="G34" s="306"/>
      <c r="H34" s="308">
        <f>H33/20</f>
        <v>30.398000000000003</v>
      </c>
      <c r="I34" s="308">
        <f>I33/20</f>
        <v>30.398000000000003</v>
      </c>
    </row>
    <row r="35" spans="1:9" ht="24" customHeight="1" x14ac:dyDescent="0.2">
      <c r="A35" s="302" t="s">
        <v>794</v>
      </c>
      <c r="B35" s="308"/>
      <c r="C35" s="306"/>
      <c r="D35" s="306"/>
      <c r="E35" s="306"/>
      <c r="F35" s="306"/>
      <c r="G35" s="306"/>
      <c r="H35" s="306">
        <v>2700</v>
      </c>
      <c r="I35" s="306">
        <v>2700</v>
      </c>
    </row>
    <row r="36" spans="1:9" ht="24" customHeight="1" x14ac:dyDescent="0.2">
      <c r="A36" s="301" t="s">
        <v>795</v>
      </c>
      <c r="B36" s="308"/>
      <c r="C36" s="306"/>
      <c r="D36" s="306"/>
      <c r="E36" s="306"/>
      <c r="F36" s="306"/>
      <c r="G36" s="306"/>
      <c r="H36" s="306">
        <f>(H31*H34)/H35</f>
        <v>1.5761925925925926</v>
      </c>
      <c r="I36" s="306">
        <f>(I31*I34)/I35</f>
        <v>2.2517037037037038</v>
      </c>
    </row>
    <row r="37" spans="1:9" x14ac:dyDescent="0.2">
      <c r="B37" s="311"/>
    </row>
    <row r="38" spans="1:9" x14ac:dyDescent="0.2">
      <c r="B38" s="311"/>
    </row>
    <row r="39" spans="1:9" x14ac:dyDescent="0.2">
      <c r="B39" s="311"/>
    </row>
    <row r="40" spans="1:9" x14ac:dyDescent="0.2">
      <c r="B40" s="311"/>
    </row>
    <row r="41" spans="1:9" s="313" customFormat="1" x14ac:dyDescent="0.2">
      <c r="A41" s="312" t="s">
        <v>796</v>
      </c>
    </row>
    <row r="42" spans="1:9" s="313" customFormat="1" x14ac:dyDescent="0.2"/>
    <row r="43" spans="1:9" s="313" customFormat="1" x14ac:dyDescent="0.2">
      <c r="A43" s="313" t="s">
        <v>797</v>
      </c>
    </row>
  </sheetData>
  <mergeCells count="2">
    <mergeCell ref="A2:A3"/>
    <mergeCell ref="B2:I2"/>
  </mergeCells>
  <hyperlinks>
    <hyperlink ref="A41" r:id="rId1" display="https://pessoas.feb.unesp.br/barbara/files/2013/08/aula_frete.pdf" xr:uid="{C1B8DBB1-0D6D-438C-844A-C0786F74609D}"/>
  </hyperlinks>
  <pageMargins left="0.98425196850393704" right="0.59055118110236227" top="1.1811023622047245" bottom="0.78740157480314965" header="0.27559055118110237" footer="0.27559055118110237"/>
  <pageSetup paperSize="9" scale="98" orientation="portrait" r:id="rId2"/>
  <headerFooter>
    <oddHeader>&amp;L&amp;G</oddHeader>
    <oddFooter>&amp;C&amp;"Calibri,Regular"&amp;8CNPJ: 41.244.542/0001-97
Cabo Corporate Center – Torre Aníbal Cardoso 
Rua Cento e Sessenta e Três, 226 – sala 405  -  Cabo de Santo Agostinho– PE  - CEP:  54518-430  
Tel.: (81) 3076-0018  / e-mail: nrjambiental05@gmail.com</oddFooter>
  </headerFooter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8A59-A7C4-41D5-8CE4-EF04B7F1D5E1}">
  <dimension ref="A1:Q122"/>
  <sheetViews>
    <sheetView view="pageBreakPreview" topLeftCell="A85" zoomScaleNormal="100" zoomScaleSheetLayoutView="100" workbookViewId="0">
      <selection activeCell="H97" sqref="H97:H100"/>
    </sheetView>
  </sheetViews>
  <sheetFormatPr defaultColWidth="12" defaultRowHeight="12.75" x14ac:dyDescent="0.2"/>
  <cols>
    <col min="1" max="1" width="50.83203125" style="13" customWidth="1"/>
    <col min="2" max="2" width="10.83203125" style="13" customWidth="1"/>
    <col min="3" max="3" width="5.83203125" style="13" customWidth="1"/>
    <col min="4" max="4" width="14.83203125" style="13" customWidth="1"/>
    <col min="5" max="5" width="10.83203125" style="13" customWidth="1"/>
    <col min="6" max="6" width="14.83203125" style="13" customWidth="1"/>
    <col min="7" max="7" width="12.83203125" style="13" customWidth="1"/>
    <col min="8" max="16384" width="12" style="11"/>
  </cols>
  <sheetData>
    <row r="1" spans="1:7" ht="18.75" hidden="1" x14ac:dyDescent="0.3">
      <c r="A1" s="335" t="s">
        <v>215</v>
      </c>
      <c r="B1" s="335"/>
      <c r="C1" s="335"/>
      <c r="D1" s="335"/>
      <c r="E1" s="335"/>
      <c r="F1" s="10"/>
      <c r="G1" s="11"/>
    </row>
    <row r="2" spans="1:7" ht="18" hidden="1" customHeight="1" x14ac:dyDescent="0.25">
      <c r="A2" s="335"/>
      <c r="B2" s="335"/>
      <c r="C2" s="335"/>
      <c r="D2" s="335"/>
      <c r="E2" s="335"/>
      <c r="F2" s="12"/>
      <c r="G2" s="11"/>
    </row>
    <row r="3" spans="1:7" hidden="1" x14ac:dyDescent="0.2">
      <c r="G3" s="11"/>
    </row>
    <row r="4" spans="1:7" hidden="1" x14ac:dyDescent="0.2">
      <c r="G4" s="11"/>
    </row>
    <row r="5" spans="1:7" hidden="1" x14ac:dyDescent="0.2">
      <c r="A5" s="14" t="s">
        <v>217</v>
      </c>
      <c r="D5" s="14" t="s">
        <v>211</v>
      </c>
      <c r="G5" s="11"/>
    </row>
    <row r="6" spans="1:7" x14ac:dyDescent="0.2">
      <c r="G6" s="11"/>
    </row>
    <row r="7" spans="1:7" x14ac:dyDescent="0.2">
      <c r="A7" s="336" t="s">
        <v>0</v>
      </c>
      <c r="B7" s="336"/>
      <c r="C7" s="336"/>
      <c r="D7" s="336"/>
      <c r="E7" s="336"/>
      <c r="F7" s="68"/>
      <c r="G7" s="11"/>
    </row>
    <row r="8" spans="1:7" x14ac:dyDescent="0.2">
      <c r="A8" s="16"/>
      <c r="B8" s="16"/>
      <c r="C8" s="16"/>
      <c r="D8" s="16"/>
      <c r="E8" s="16"/>
      <c r="F8" s="16"/>
      <c r="G8" s="16"/>
    </row>
    <row r="9" spans="1:7" x14ac:dyDescent="0.2">
      <c r="A9" s="69" t="s">
        <v>659</v>
      </c>
      <c r="B9" s="69"/>
      <c r="C9" s="69"/>
      <c r="D9" s="18"/>
      <c r="E9" s="18"/>
      <c r="F9" s="18"/>
      <c r="G9" s="18"/>
    </row>
    <row r="10" spans="1:7" x14ac:dyDescent="0.2">
      <c r="A10" s="69"/>
      <c r="B10" s="69"/>
      <c r="C10" s="69"/>
      <c r="D10" s="18"/>
      <c r="E10" s="18"/>
      <c r="F10" s="18"/>
      <c r="G10" s="18"/>
    </row>
    <row r="11" spans="1:7" s="34" customFormat="1" x14ac:dyDescent="0.2">
      <c r="A11" s="80" t="s">
        <v>34</v>
      </c>
      <c r="B11" s="80"/>
      <c r="C11" s="80"/>
      <c r="D11" s="18"/>
      <c r="E11" s="18"/>
      <c r="F11" s="18"/>
      <c r="G11" s="18"/>
    </row>
    <row r="12" spans="1:7" x14ac:dyDescent="0.2">
      <c r="A12" s="16"/>
      <c r="B12" s="16"/>
      <c r="C12" s="16"/>
      <c r="D12" s="85" t="s">
        <v>159</v>
      </c>
      <c r="E12" s="86"/>
      <c r="F12" s="85" t="s">
        <v>160</v>
      </c>
      <c r="G12" s="16"/>
    </row>
    <row r="13" spans="1:7" x14ac:dyDescent="0.2">
      <c r="A13" s="70" t="s">
        <v>88</v>
      </c>
      <c r="C13" s="70"/>
      <c r="D13" s="16"/>
      <c r="E13" s="16" t="s">
        <v>35</v>
      </c>
      <c r="F13" s="16"/>
      <c r="G13" s="16" t="s">
        <v>35</v>
      </c>
    </row>
    <row r="14" spans="1:7" x14ac:dyDescent="0.2">
      <c r="A14" s="70" t="s">
        <v>462</v>
      </c>
      <c r="B14" s="61"/>
      <c r="C14" s="61"/>
      <c r="D14" s="16">
        <f>COLETOR!B32</f>
        <v>4484.9060142857152</v>
      </c>
      <c r="E14" s="61" t="s">
        <v>36</v>
      </c>
      <c r="F14" s="16">
        <f>+COLETOR!B59</f>
        <v>4871.7265442857151</v>
      </c>
      <c r="G14" s="61" t="s">
        <v>36</v>
      </c>
    </row>
    <row r="15" spans="1:7" x14ac:dyDescent="0.2">
      <c r="A15" s="70" t="s">
        <v>463</v>
      </c>
      <c r="B15" s="61"/>
      <c r="C15" s="61"/>
      <c r="D15" s="16">
        <f>ROUND(+D14*D13,2)</f>
        <v>0</v>
      </c>
      <c r="E15" s="16" t="s">
        <v>37</v>
      </c>
      <c r="F15" s="16">
        <f>ROUND(+F14*F13,2)</f>
        <v>0</v>
      </c>
      <c r="G15" s="16" t="s">
        <v>37</v>
      </c>
    </row>
    <row r="16" spans="1:7" x14ac:dyDescent="0.2">
      <c r="A16" s="104" t="s">
        <v>461</v>
      </c>
      <c r="B16" s="61"/>
      <c r="C16" s="61"/>
      <c r="D16" s="16">
        <f>ROUND((((D13*(D14/220)*1.5)*4*4)+(D13*((D14/220)*2)*8*1)),2)</f>
        <v>0</v>
      </c>
      <c r="E16" s="16" t="s">
        <v>37</v>
      </c>
      <c r="F16" s="16">
        <f>ROUND(((F13*(D14/220)*1.5)*4*4)+(F13*((F14/220)*2)*8*1),2)</f>
        <v>0</v>
      </c>
      <c r="G16" s="16" t="s">
        <v>37</v>
      </c>
    </row>
    <row r="17" spans="1:7" x14ac:dyDescent="0.2">
      <c r="A17" s="70" t="s">
        <v>92</v>
      </c>
      <c r="B17" s="70"/>
      <c r="C17" s="70"/>
      <c r="D17" s="16">
        <f>ROUND(SUM(D15:D16),2)</f>
        <v>0</v>
      </c>
      <c r="E17" s="16" t="s">
        <v>43</v>
      </c>
      <c r="F17" s="16">
        <f>ROUND(SUM(F15:F16),2)</f>
        <v>0</v>
      </c>
      <c r="G17" s="16" t="s">
        <v>43</v>
      </c>
    </row>
    <row r="18" spans="1:7" x14ac:dyDescent="0.2">
      <c r="A18" s="61"/>
      <c r="B18" s="61"/>
      <c r="C18" s="61"/>
      <c r="D18" s="16"/>
      <c r="E18" s="16"/>
    </row>
    <row r="19" spans="1:7" x14ac:dyDescent="0.2">
      <c r="A19" s="61" t="s">
        <v>38</v>
      </c>
      <c r="B19" s="61"/>
      <c r="C19" s="61"/>
      <c r="D19" s="16"/>
      <c r="E19" s="16" t="s">
        <v>35</v>
      </c>
      <c r="F19" s="16"/>
      <c r="G19" s="16" t="s">
        <v>35</v>
      </c>
    </row>
    <row r="20" spans="1:7" x14ac:dyDescent="0.2">
      <c r="A20" s="16" t="s">
        <v>310</v>
      </c>
      <c r="B20" s="16"/>
      <c r="C20" s="16"/>
      <c r="D20" s="16">
        <f>'ENC I'!B32</f>
        <v>9061.6866043333339</v>
      </c>
      <c r="E20" s="16" t="s">
        <v>36</v>
      </c>
      <c r="F20" s="16">
        <f>'ENC I'!B59</f>
        <v>9715.8399713333329</v>
      </c>
      <c r="G20" s="61" t="s">
        <v>36</v>
      </c>
    </row>
    <row r="21" spans="1:7" x14ac:dyDescent="0.2">
      <c r="A21" s="16" t="s">
        <v>309</v>
      </c>
      <c r="B21" s="16"/>
      <c r="C21" s="16"/>
      <c r="D21" s="16">
        <f>ROUND(+D20*D19,2)</f>
        <v>0</v>
      </c>
      <c r="E21" s="16" t="s">
        <v>37</v>
      </c>
      <c r="F21" s="16">
        <f>ROUND(+F20*F19,2)</f>
        <v>0</v>
      </c>
      <c r="G21" s="16" t="s">
        <v>37</v>
      </c>
    </row>
    <row r="22" spans="1:7" x14ac:dyDescent="0.2">
      <c r="A22" s="104" t="s">
        <v>461</v>
      </c>
      <c r="B22" s="61"/>
      <c r="C22" s="61"/>
      <c r="D22" s="16">
        <f>ROUND((((D19*(D14/220)*1.5)*4*4)+(D19*((D20/220)*2)*8*1)),2)</f>
        <v>0</v>
      </c>
      <c r="E22" s="16" t="s">
        <v>37</v>
      </c>
      <c r="F22" s="16">
        <f>ROUND((((F19*(F14/220)*1.5)*4*4)+(F19*((F20/220)*2)*8*1)),2)</f>
        <v>0</v>
      </c>
      <c r="G22" s="16" t="s">
        <v>37</v>
      </c>
    </row>
    <row r="23" spans="1:7" x14ac:dyDescent="0.2">
      <c r="A23" s="16" t="s">
        <v>48</v>
      </c>
      <c r="B23" s="16"/>
      <c r="C23" s="16"/>
      <c r="D23" s="16">
        <f>ROUND(SUM(D21:D22),2)</f>
        <v>0</v>
      </c>
      <c r="E23" s="16" t="s">
        <v>43</v>
      </c>
      <c r="F23" s="16">
        <f>ROUND(SUM(F21:F22),2)</f>
        <v>0</v>
      </c>
      <c r="G23" s="16" t="s">
        <v>43</v>
      </c>
    </row>
    <row r="24" spans="1:7" x14ac:dyDescent="0.2">
      <c r="A24" s="16"/>
      <c r="B24" s="16"/>
      <c r="C24" s="16"/>
      <c r="D24" s="16"/>
      <c r="E24" s="16"/>
      <c r="F24" s="16"/>
    </row>
    <row r="25" spans="1:7" x14ac:dyDescent="0.2">
      <c r="A25" s="61" t="s">
        <v>49</v>
      </c>
      <c r="B25" s="61"/>
      <c r="C25" s="61"/>
      <c r="D25" s="16">
        <v>5</v>
      </c>
      <c r="E25" s="16" t="s">
        <v>35</v>
      </c>
      <c r="F25" s="16">
        <v>3</v>
      </c>
      <c r="G25" s="16" t="s">
        <v>35</v>
      </c>
    </row>
    <row r="26" spans="1:7" x14ac:dyDescent="0.2">
      <c r="A26" s="70" t="s">
        <v>464</v>
      </c>
      <c r="B26" s="61"/>
      <c r="C26" s="61"/>
      <c r="D26" s="16">
        <f>MOTORISTA!B32</f>
        <v>6484.3952558333331</v>
      </c>
      <c r="E26" s="16" t="s">
        <v>36</v>
      </c>
      <c r="F26" s="16">
        <f>+MOTORISTA!B58</f>
        <v>7222.7705586458324</v>
      </c>
      <c r="G26" s="61" t="s">
        <v>36</v>
      </c>
    </row>
    <row r="27" spans="1:7" x14ac:dyDescent="0.2">
      <c r="A27" s="70" t="s">
        <v>465</v>
      </c>
      <c r="B27" s="61"/>
      <c r="C27" s="61"/>
      <c r="D27" s="16">
        <f>ROUND(+D26*D25,2)</f>
        <v>32421.98</v>
      </c>
      <c r="E27" s="16" t="s">
        <v>37</v>
      </c>
      <c r="F27" s="16">
        <f>ROUND(+F26*F25,2)</f>
        <v>21668.31</v>
      </c>
      <c r="G27" s="16" t="s">
        <v>37</v>
      </c>
    </row>
    <row r="28" spans="1:7" x14ac:dyDescent="0.2">
      <c r="A28" s="104" t="s">
        <v>461</v>
      </c>
      <c r="B28" s="61"/>
      <c r="C28" s="61"/>
      <c r="D28" s="16">
        <f>ROUND((((D25*(D14/220)*1.5)*4*4)+(D25*((D26/220)*2)*8*1)),2)</f>
        <v>4804.2700000000004</v>
      </c>
      <c r="E28" s="16" t="s">
        <v>37</v>
      </c>
      <c r="F28" s="16">
        <f>ROUND((((F25*(F14/220)*1.5)*4*4)+(F25*((F26/220)*2)*8*1)),2)</f>
        <v>3170.26</v>
      </c>
      <c r="G28" s="16" t="s">
        <v>37</v>
      </c>
    </row>
    <row r="29" spans="1:7" x14ac:dyDescent="0.2">
      <c r="A29" s="70" t="s">
        <v>52</v>
      </c>
      <c r="B29" s="70"/>
      <c r="C29" s="70"/>
      <c r="D29" s="16">
        <f>ROUND(SUM(D27:D28),2)</f>
        <v>37226.25</v>
      </c>
      <c r="E29" s="16" t="s">
        <v>43</v>
      </c>
      <c r="F29" s="16">
        <f>ROUND(SUM(F27:F28),2)</f>
        <v>24838.57</v>
      </c>
      <c r="G29" s="16" t="s">
        <v>43</v>
      </c>
    </row>
    <row r="30" spans="1:7" x14ac:dyDescent="0.2">
      <c r="A30" s="16"/>
      <c r="B30" s="16"/>
      <c r="C30" s="16"/>
      <c r="D30" s="16"/>
      <c r="E30" s="16"/>
      <c r="G30" s="16"/>
    </row>
    <row r="31" spans="1:7" x14ac:dyDescent="0.2">
      <c r="A31" s="31" t="s">
        <v>181</v>
      </c>
      <c r="B31" s="31"/>
      <c r="C31" s="31"/>
      <c r="D31" s="31">
        <f>D17+D23+D29+F17+F23+F29</f>
        <v>62064.82</v>
      </c>
      <c r="E31" s="31" t="s">
        <v>130</v>
      </c>
      <c r="G31" s="16"/>
    </row>
    <row r="32" spans="1:7" x14ac:dyDescent="0.2">
      <c r="A32" s="16"/>
      <c r="B32" s="16"/>
      <c r="C32" s="16"/>
      <c r="D32" s="16"/>
      <c r="E32" s="16"/>
      <c r="G32" s="16"/>
    </row>
    <row r="33" spans="1:10" x14ac:dyDescent="0.2">
      <c r="A33" s="87" t="s">
        <v>87</v>
      </c>
      <c r="B33" s="75"/>
      <c r="C33" s="75"/>
      <c r="D33" s="18"/>
      <c r="E33" s="16"/>
      <c r="F33" s="16"/>
      <c r="G33" s="16"/>
    </row>
    <row r="34" spans="1:10" x14ac:dyDescent="0.2">
      <c r="A34" s="16"/>
      <c r="B34" s="16"/>
      <c r="C34" s="16"/>
      <c r="D34" s="85" t="s">
        <v>423</v>
      </c>
      <c r="E34" s="85"/>
      <c r="F34" s="85" t="s">
        <v>422</v>
      </c>
      <c r="G34" s="16"/>
    </row>
    <row r="35" spans="1:10" hidden="1" x14ac:dyDescent="0.2">
      <c r="A35" s="70" t="s">
        <v>284</v>
      </c>
      <c r="B35" s="70"/>
      <c r="C35" s="70"/>
      <c r="D35" s="16"/>
      <c r="E35" s="16" t="s">
        <v>35</v>
      </c>
      <c r="F35" s="16" t="s">
        <v>8</v>
      </c>
      <c r="G35" s="16"/>
    </row>
    <row r="36" spans="1:10" hidden="1" x14ac:dyDescent="0.2">
      <c r="A36" s="16" t="s">
        <v>53</v>
      </c>
      <c r="B36" s="16"/>
      <c r="C36" s="16"/>
      <c r="D36" s="16"/>
      <c r="E36" s="16" t="s">
        <v>36</v>
      </c>
      <c r="F36" s="16"/>
      <c r="G36" s="16"/>
    </row>
    <row r="37" spans="1:10" hidden="1" x14ac:dyDescent="0.2">
      <c r="A37" s="61" t="s">
        <v>286</v>
      </c>
      <c r="B37" s="61"/>
      <c r="C37" s="61"/>
      <c r="D37" s="16">
        <f>ROUND(+D36*D35,2)</f>
        <v>0</v>
      </c>
      <c r="E37" s="16" t="s">
        <v>37</v>
      </c>
      <c r="F37" s="16"/>
      <c r="G37" s="16"/>
    </row>
    <row r="38" spans="1:10" hidden="1" x14ac:dyDescent="0.2">
      <c r="A38" s="61"/>
      <c r="B38" s="61"/>
      <c r="C38" s="61"/>
      <c r="D38" s="16"/>
      <c r="E38" s="16"/>
      <c r="F38" s="16"/>
      <c r="G38" s="16"/>
    </row>
    <row r="39" spans="1:10" hidden="1" x14ac:dyDescent="0.2">
      <c r="A39" s="70" t="s">
        <v>285</v>
      </c>
      <c r="B39" s="70"/>
      <c r="C39" s="70"/>
      <c r="D39" s="16"/>
      <c r="E39" s="16" t="s">
        <v>35</v>
      </c>
      <c r="F39" s="16"/>
      <c r="G39" s="16"/>
    </row>
    <row r="40" spans="1:10" hidden="1" x14ac:dyDescent="0.2">
      <c r="A40" s="16" t="s">
        <v>53</v>
      </c>
      <c r="B40" s="16"/>
      <c r="C40" s="16"/>
      <c r="D40" s="16"/>
      <c r="E40" s="16" t="s">
        <v>36</v>
      </c>
      <c r="F40" s="16"/>
      <c r="G40" s="16"/>
      <c r="J40" s="11">
        <v>308</v>
      </c>
    </row>
    <row r="41" spans="1:10" hidden="1" x14ac:dyDescent="0.2">
      <c r="A41" s="61" t="s">
        <v>287</v>
      </c>
      <c r="B41" s="61"/>
      <c r="C41" s="61"/>
      <c r="D41" s="16">
        <f>ROUND(+D40*D39,2)</f>
        <v>0</v>
      </c>
      <c r="E41" s="16" t="s">
        <v>37</v>
      </c>
      <c r="F41" s="16"/>
      <c r="G41" s="16"/>
      <c r="J41" s="11">
        <v>20</v>
      </c>
    </row>
    <row r="42" spans="1:10" hidden="1" x14ac:dyDescent="0.2">
      <c r="A42" s="61"/>
      <c r="B42" s="61"/>
      <c r="C42" s="61"/>
      <c r="D42" s="16"/>
      <c r="E42" s="16"/>
      <c r="F42" s="16"/>
      <c r="G42" s="16"/>
    </row>
    <row r="43" spans="1:10" hidden="1" x14ac:dyDescent="0.2">
      <c r="A43" s="70" t="s">
        <v>569</v>
      </c>
      <c r="B43" s="70"/>
      <c r="C43" s="70"/>
      <c r="D43" s="16"/>
      <c r="E43" s="16" t="s">
        <v>35</v>
      </c>
      <c r="F43" s="16"/>
      <c r="G43" s="16"/>
    </row>
    <row r="44" spans="1:10" hidden="1" x14ac:dyDescent="0.2">
      <c r="A44" s="16" t="s">
        <v>318</v>
      </c>
      <c r="B44" s="16"/>
      <c r="C44" s="16"/>
      <c r="D44" s="16"/>
      <c r="E44" s="16" t="s">
        <v>36</v>
      </c>
      <c r="F44" s="16"/>
      <c r="G44" s="16"/>
    </row>
    <row r="45" spans="1:10" hidden="1" x14ac:dyDescent="0.2">
      <c r="A45" s="70" t="s">
        <v>93</v>
      </c>
      <c r="B45" s="70"/>
      <c r="C45" s="70"/>
      <c r="D45" s="16"/>
      <c r="E45" s="16" t="s">
        <v>37</v>
      </c>
      <c r="F45" s="16"/>
      <c r="G45" s="16"/>
    </row>
    <row r="46" spans="1:10" hidden="1" x14ac:dyDescent="0.2">
      <c r="A46" s="70"/>
      <c r="B46" s="70"/>
      <c r="C46" s="70"/>
      <c r="D46" s="16"/>
      <c r="E46" s="16"/>
      <c r="F46" s="16"/>
      <c r="G46" s="16"/>
    </row>
    <row r="47" spans="1:10" x14ac:dyDescent="0.2">
      <c r="A47" s="70" t="s">
        <v>165</v>
      </c>
      <c r="B47" s="70"/>
      <c r="C47" s="70"/>
      <c r="D47" s="16">
        <v>4</v>
      </c>
      <c r="E47" s="16" t="s">
        <v>35</v>
      </c>
      <c r="F47" s="16"/>
      <c r="G47" s="16" t="s">
        <v>35</v>
      </c>
    </row>
    <row r="48" spans="1:10" x14ac:dyDescent="0.2">
      <c r="A48" s="16" t="s">
        <v>318</v>
      </c>
      <c r="B48" s="16"/>
      <c r="C48" s="16"/>
      <c r="D48" s="16">
        <f>'CAMP TRANSP'!B62</f>
        <v>60765.418544850821</v>
      </c>
      <c r="E48" s="16" t="s">
        <v>36</v>
      </c>
      <c r="F48" s="16">
        <f>'CAMP TRANSP'!B62</f>
        <v>60765.418544850821</v>
      </c>
      <c r="G48" s="16" t="s">
        <v>36</v>
      </c>
    </row>
    <row r="49" spans="1:7" x14ac:dyDescent="0.2">
      <c r="A49" s="70" t="s">
        <v>93</v>
      </c>
      <c r="B49" s="70"/>
      <c r="C49" s="70"/>
      <c r="D49" s="16">
        <f>ROUND(+D48*D47,2)</f>
        <v>243061.67</v>
      </c>
      <c r="E49" s="16" t="s">
        <v>37</v>
      </c>
      <c r="F49" s="16">
        <f>F47*F48</f>
        <v>0</v>
      </c>
      <c r="G49" s="16" t="s">
        <v>37</v>
      </c>
    </row>
    <row r="50" spans="1:7" x14ac:dyDescent="0.2">
      <c r="A50" s="16"/>
      <c r="B50" s="16"/>
      <c r="C50" s="16"/>
      <c r="D50" s="16"/>
      <c r="E50" s="16"/>
      <c r="F50" s="16"/>
      <c r="G50" s="16"/>
    </row>
    <row r="51" spans="1:7" x14ac:dyDescent="0.2">
      <c r="A51" s="70" t="s">
        <v>661</v>
      </c>
      <c r="B51" s="70"/>
      <c r="C51" s="70"/>
      <c r="D51" s="16">
        <v>1</v>
      </c>
      <c r="E51" s="16" t="s">
        <v>35</v>
      </c>
      <c r="F51" s="16"/>
      <c r="G51" s="16"/>
    </row>
    <row r="52" spans="1:7" x14ac:dyDescent="0.2">
      <c r="A52" s="16" t="s">
        <v>318</v>
      </c>
      <c r="B52" s="16"/>
      <c r="C52" s="16"/>
      <c r="D52" s="16">
        <f>'comp transp 8'!B62</f>
        <v>47230.40835682441</v>
      </c>
      <c r="E52" s="16" t="s">
        <v>36</v>
      </c>
      <c r="F52" s="16"/>
      <c r="G52" s="16"/>
    </row>
    <row r="53" spans="1:7" x14ac:dyDescent="0.2">
      <c r="A53" s="70" t="s">
        <v>93</v>
      </c>
      <c r="B53" s="70"/>
      <c r="C53" s="70"/>
      <c r="D53" s="16">
        <f>D51*D52</f>
        <v>47230.40835682441</v>
      </c>
      <c r="E53" s="16" t="s">
        <v>37</v>
      </c>
      <c r="F53" s="16"/>
      <c r="G53" s="16"/>
    </row>
    <row r="54" spans="1:7" x14ac:dyDescent="0.2">
      <c r="A54" s="70"/>
      <c r="B54" s="70"/>
      <c r="C54" s="70"/>
      <c r="D54" s="16"/>
      <c r="E54" s="16"/>
      <c r="F54" s="16"/>
      <c r="G54" s="16"/>
    </row>
    <row r="55" spans="1:7" x14ac:dyDescent="0.2">
      <c r="A55" s="31" t="s">
        <v>188</v>
      </c>
      <c r="B55" s="31"/>
      <c r="C55" s="31"/>
      <c r="D55" s="31">
        <f>ROUND(D37+D41+D45+D49+D53+F49,2)</f>
        <v>290292.08</v>
      </c>
      <c r="E55" s="31" t="s">
        <v>130</v>
      </c>
      <c r="F55" s="16"/>
      <c r="G55" s="16"/>
    </row>
    <row r="56" spans="1:7" x14ac:dyDescent="0.2">
      <c r="A56" s="16"/>
      <c r="B56" s="16"/>
      <c r="C56" s="16"/>
      <c r="D56" s="16"/>
      <c r="E56" s="16"/>
      <c r="F56" s="16"/>
      <c r="G56" s="16"/>
    </row>
    <row r="57" spans="1:7" x14ac:dyDescent="0.2">
      <c r="A57" s="87" t="s">
        <v>161</v>
      </c>
      <c r="B57" s="75"/>
      <c r="C57" s="75"/>
      <c r="D57" s="76"/>
      <c r="E57" s="16"/>
      <c r="F57" s="16"/>
      <c r="G57" s="11"/>
    </row>
    <row r="58" spans="1:7" x14ac:dyDescent="0.2">
      <c r="A58" s="75"/>
      <c r="B58" s="75"/>
      <c r="C58" s="75"/>
      <c r="D58" s="76"/>
      <c r="E58" s="16"/>
      <c r="F58" s="16"/>
      <c r="G58" s="11"/>
    </row>
    <row r="59" spans="1:7" x14ac:dyDescent="0.2">
      <c r="A59" s="22" t="s">
        <v>112</v>
      </c>
      <c r="B59" s="181"/>
      <c r="C59" s="74" t="s">
        <v>113</v>
      </c>
      <c r="D59" s="16"/>
      <c r="E59" s="16" t="s">
        <v>37</v>
      </c>
      <c r="F59" s="16"/>
      <c r="G59" s="16"/>
    </row>
    <row r="60" spans="1:7" x14ac:dyDescent="0.2">
      <c r="A60" s="16" t="s">
        <v>98</v>
      </c>
      <c r="B60" s="181"/>
      <c r="C60" s="74" t="s">
        <v>113</v>
      </c>
      <c r="D60" s="16"/>
      <c r="E60" s="16" t="s">
        <v>37</v>
      </c>
      <c r="F60" s="16"/>
      <c r="G60" s="16"/>
    </row>
    <row r="61" spans="1:7" x14ac:dyDescent="0.2">
      <c r="A61" s="16" t="s">
        <v>100</v>
      </c>
      <c r="B61" s="181"/>
      <c r="C61" s="74" t="s">
        <v>113</v>
      </c>
      <c r="D61" s="16"/>
      <c r="E61" s="16" t="s">
        <v>37</v>
      </c>
      <c r="F61" s="16"/>
      <c r="G61" s="16"/>
    </row>
    <row r="62" spans="1:7" x14ac:dyDescent="0.2">
      <c r="A62" s="16" t="s">
        <v>117</v>
      </c>
      <c r="B62" s="181"/>
      <c r="C62" s="74" t="s">
        <v>113</v>
      </c>
      <c r="D62" s="16"/>
      <c r="E62" s="16" t="s">
        <v>37</v>
      </c>
      <c r="F62" s="16"/>
      <c r="G62" s="16"/>
    </row>
    <row r="63" spans="1:7" x14ac:dyDescent="0.2">
      <c r="A63" s="16" t="s">
        <v>102</v>
      </c>
      <c r="B63" s="181"/>
      <c r="C63" s="74" t="s">
        <v>113</v>
      </c>
      <c r="D63" s="16"/>
      <c r="E63" s="16" t="s">
        <v>37</v>
      </c>
      <c r="F63" s="16"/>
      <c r="G63" s="16"/>
    </row>
    <row r="64" spans="1:7" x14ac:dyDescent="0.2">
      <c r="A64" s="16" t="s">
        <v>125</v>
      </c>
      <c r="B64" s="181"/>
      <c r="C64" s="74" t="s">
        <v>113</v>
      </c>
      <c r="D64" s="16"/>
      <c r="E64" s="16" t="s">
        <v>37</v>
      </c>
      <c r="F64" s="16"/>
      <c r="G64" s="16"/>
    </row>
    <row r="65" spans="1:17" x14ac:dyDescent="0.2">
      <c r="A65" s="16" t="s">
        <v>119</v>
      </c>
      <c r="B65" s="181"/>
      <c r="C65" s="74" t="s">
        <v>113</v>
      </c>
      <c r="D65" s="16"/>
      <c r="E65" s="16" t="s">
        <v>37</v>
      </c>
      <c r="F65" s="16"/>
      <c r="G65" s="16"/>
    </row>
    <row r="66" spans="1:17" x14ac:dyDescent="0.2">
      <c r="A66" s="42" t="s">
        <v>472</v>
      </c>
      <c r="B66" s="179"/>
      <c r="C66" s="107" t="s">
        <v>473</v>
      </c>
      <c r="D66" s="42"/>
      <c r="E66" s="42" t="s">
        <v>43</v>
      </c>
      <c r="F66" s="16"/>
      <c r="G66" s="16"/>
    </row>
    <row r="67" spans="1:17" x14ac:dyDescent="0.2">
      <c r="A67" s="42"/>
      <c r="B67" s="179"/>
      <c r="C67" s="107"/>
      <c r="D67" s="42"/>
      <c r="E67" s="42"/>
      <c r="F67" s="16"/>
      <c r="G67" s="16"/>
    </row>
    <row r="68" spans="1:17" x14ac:dyDescent="0.2">
      <c r="A68" s="31" t="s">
        <v>189</v>
      </c>
      <c r="B68" s="31"/>
      <c r="C68" s="31"/>
      <c r="D68" s="31">
        <f>SUM(D59:D66)</f>
        <v>0</v>
      </c>
      <c r="E68" s="31" t="s">
        <v>130</v>
      </c>
      <c r="F68" s="16"/>
      <c r="G68" s="16"/>
    </row>
    <row r="69" spans="1:17" hidden="1" x14ac:dyDescent="0.2">
      <c r="A69" s="16" t="s">
        <v>72</v>
      </c>
      <c r="B69" s="16"/>
      <c r="C69" s="16"/>
      <c r="D69" s="79"/>
      <c r="E69" s="16"/>
      <c r="F69" s="16"/>
      <c r="G69" s="16"/>
    </row>
    <row r="70" spans="1:17" hidden="1" x14ac:dyDescent="0.2">
      <c r="A70" s="16" t="s">
        <v>57</v>
      </c>
      <c r="B70" s="16"/>
      <c r="C70" s="16"/>
      <c r="D70" s="16" t="e">
        <f>ROUND(D69*#REF!,2)</f>
        <v>#REF!</v>
      </c>
      <c r="E70" s="16" t="s">
        <v>71</v>
      </c>
      <c r="F70" s="16"/>
      <c r="G70" s="16"/>
    </row>
    <row r="71" spans="1:17" hidden="1" x14ac:dyDescent="0.2">
      <c r="A71" s="16"/>
      <c r="B71" s="73"/>
      <c r="C71" s="74"/>
      <c r="D71" s="16"/>
      <c r="E71" s="16"/>
      <c r="F71" s="16"/>
      <c r="G71" s="16"/>
    </row>
    <row r="72" spans="1:17" x14ac:dyDescent="0.2">
      <c r="A72" s="16"/>
      <c r="B72" s="73"/>
      <c r="C72" s="74"/>
      <c r="D72" s="16"/>
      <c r="E72" s="16"/>
      <c r="F72" s="16"/>
      <c r="G72" s="16"/>
    </row>
    <row r="73" spans="1:17" s="1" customFormat="1" x14ac:dyDescent="0.2">
      <c r="A73" s="109" t="s">
        <v>470</v>
      </c>
      <c r="B73" s="42"/>
      <c r="C73" s="42"/>
      <c r="D73" s="42"/>
      <c r="E73" s="42"/>
      <c r="F73" s="42"/>
      <c r="G73" s="42"/>
      <c r="H73" s="42"/>
      <c r="I73" s="42"/>
      <c r="O73" s="127"/>
      <c r="Q73" s="65"/>
    </row>
    <row r="74" spans="1:17" s="1" customFormat="1" x14ac:dyDescent="0.2">
      <c r="A74" s="109"/>
      <c r="B74" s="42"/>
      <c r="C74" s="42"/>
      <c r="D74" s="42"/>
      <c r="E74" s="42"/>
      <c r="F74" s="42"/>
      <c r="G74" s="42"/>
      <c r="H74" s="42"/>
      <c r="I74" s="42"/>
      <c r="O74" s="127"/>
      <c r="Q74" s="65"/>
    </row>
    <row r="75" spans="1:17" s="1" customFormat="1" x14ac:dyDescent="0.2">
      <c r="A75" s="104" t="s">
        <v>478</v>
      </c>
      <c r="B75" s="42"/>
      <c r="C75" s="42"/>
      <c r="D75" s="42"/>
      <c r="E75" s="42"/>
      <c r="F75" s="42"/>
      <c r="G75" s="42"/>
      <c r="H75" s="42"/>
      <c r="I75" s="42"/>
      <c r="O75" s="127"/>
      <c r="Q75" s="65"/>
    </row>
    <row r="76" spans="1:17" s="1" customFormat="1" x14ac:dyDescent="0.2">
      <c r="A76" s="104" t="s">
        <v>476</v>
      </c>
      <c r="B76" s="42"/>
      <c r="C76" s="42"/>
      <c r="D76" s="42">
        <f>DOMICILIAR!D72</f>
        <v>200</v>
      </c>
      <c r="E76" s="42" t="s">
        <v>475</v>
      </c>
      <c r="F76" s="42"/>
      <c r="G76" s="42"/>
      <c r="H76" s="42"/>
      <c r="I76" s="42"/>
      <c r="O76" s="127"/>
      <c r="Q76" s="65"/>
    </row>
    <row r="77" spans="1:17" s="1" customFormat="1" x14ac:dyDescent="0.2">
      <c r="A77" s="104" t="s">
        <v>477</v>
      </c>
      <c r="B77" s="42"/>
      <c r="C77" s="42"/>
      <c r="D77" s="42">
        <f>DOMICILIAR!D73</f>
        <v>200</v>
      </c>
      <c r="E77" s="42" t="s">
        <v>485</v>
      </c>
      <c r="F77" s="42"/>
      <c r="G77" s="42"/>
      <c r="H77" s="42"/>
      <c r="I77" s="42"/>
      <c r="O77" s="127"/>
      <c r="Q77" s="65"/>
    </row>
    <row r="78" spans="1:17" s="1" customFormat="1" x14ac:dyDescent="0.2">
      <c r="A78" s="104"/>
      <c r="B78" s="42"/>
      <c r="C78" s="42"/>
      <c r="D78" s="42"/>
      <c r="E78" s="42"/>
      <c r="F78" s="42"/>
      <c r="G78" s="42"/>
      <c r="H78" s="42"/>
      <c r="I78" s="42"/>
      <c r="O78" s="127"/>
      <c r="Q78" s="65"/>
    </row>
    <row r="79" spans="1:17" s="1" customFormat="1" x14ac:dyDescent="0.2">
      <c r="A79" s="104" t="s">
        <v>479</v>
      </c>
      <c r="B79" s="42"/>
      <c r="C79" s="42"/>
      <c r="D79" s="42"/>
      <c r="E79" s="42"/>
      <c r="F79" s="42"/>
      <c r="G79" s="42"/>
      <c r="H79" s="42"/>
      <c r="I79" s="42"/>
      <c r="O79" s="127"/>
      <c r="Q79" s="65"/>
    </row>
    <row r="80" spans="1:17" s="1" customFormat="1" x14ac:dyDescent="0.2">
      <c r="A80" s="104" t="s">
        <v>480</v>
      </c>
      <c r="B80" s="42"/>
      <c r="C80" s="42"/>
      <c r="D80" s="42">
        <f>DOMICILIAR!D76</f>
        <v>900</v>
      </c>
      <c r="E80" s="42" t="s">
        <v>484</v>
      </c>
      <c r="F80" s="42"/>
      <c r="G80" s="42"/>
      <c r="H80" s="42"/>
      <c r="I80" s="42"/>
      <c r="O80" s="127"/>
      <c r="Q80" s="65"/>
    </row>
    <row r="81" spans="1:17" s="1" customFormat="1" x14ac:dyDescent="0.2">
      <c r="A81" s="104" t="s">
        <v>481</v>
      </c>
      <c r="B81" s="42"/>
      <c r="C81" s="42"/>
      <c r="D81" s="42">
        <v>60</v>
      </c>
      <c r="E81" s="42" t="s">
        <v>485</v>
      </c>
      <c r="F81" s="42"/>
      <c r="G81" s="42"/>
      <c r="H81" s="42"/>
      <c r="I81" s="42"/>
      <c r="O81" s="127"/>
      <c r="Q81" s="65"/>
    </row>
    <row r="82" spans="1:17" s="1" customFormat="1" x14ac:dyDescent="0.2">
      <c r="A82" s="104" t="s">
        <v>482</v>
      </c>
      <c r="B82" s="42"/>
      <c r="C82" s="42"/>
      <c r="D82" s="42">
        <v>30</v>
      </c>
      <c r="E82" s="42" t="s">
        <v>55</v>
      </c>
      <c r="F82" s="42"/>
      <c r="G82" s="42"/>
      <c r="H82" s="42"/>
      <c r="I82" s="42"/>
      <c r="O82" s="127"/>
      <c r="Q82" s="65"/>
    </row>
    <row r="83" spans="1:17" s="1" customFormat="1" x14ac:dyDescent="0.2">
      <c r="A83" s="42" t="s">
        <v>483</v>
      </c>
      <c r="B83" s="42"/>
      <c r="C83" s="42"/>
      <c r="D83" s="42">
        <f>(D80/D82)+D81</f>
        <v>90</v>
      </c>
      <c r="E83" s="42" t="s">
        <v>486</v>
      </c>
      <c r="F83" s="42"/>
      <c r="G83" s="42"/>
      <c r="H83" s="42"/>
      <c r="I83" s="42"/>
      <c r="O83" s="127"/>
      <c r="Q83" s="65"/>
    </row>
    <row r="84" spans="1:17" s="1" customFormat="1" x14ac:dyDescent="0.2">
      <c r="A84" s="42"/>
      <c r="B84" s="42"/>
      <c r="C84" s="42"/>
      <c r="D84" s="42"/>
      <c r="E84" s="42"/>
      <c r="F84" s="42"/>
      <c r="G84" s="42"/>
      <c r="H84" s="42"/>
      <c r="I84" s="42"/>
      <c r="O84" s="127"/>
      <c r="Q84" s="65"/>
    </row>
    <row r="85" spans="1:17" s="1" customFormat="1" x14ac:dyDescent="0.2">
      <c r="A85" s="42" t="s">
        <v>487</v>
      </c>
      <c r="B85" s="42"/>
      <c r="C85" s="42"/>
      <c r="D85" s="42"/>
      <c r="E85" s="42"/>
      <c r="F85" s="42"/>
      <c r="G85" s="42"/>
      <c r="H85" s="42"/>
      <c r="I85" s="42"/>
      <c r="O85" s="127"/>
      <c r="Q85" s="65"/>
    </row>
    <row r="86" spans="1:17" s="1" customFormat="1" x14ac:dyDescent="0.2">
      <c r="A86" s="42" t="s">
        <v>488</v>
      </c>
      <c r="B86" s="42"/>
      <c r="C86" s="42"/>
      <c r="D86" s="42">
        <v>4</v>
      </c>
      <c r="E86" s="42" t="s">
        <v>493</v>
      </c>
      <c r="F86" s="42"/>
      <c r="G86" s="42"/>
      <c r="H86" s="42"/>
      <c r="I86" s="42"/>
      <c r="O86" s="127"/>
      <c r="Q86" s="65"/>
    </row>
    <row r="87" spans="1:17" s="1" customFormat="1" x14ac:dyDescent="0.2">
      <c r="A87" s="42" t="s">
        <v>499</v>
      </c>
      <c r="B87" s="42"/>
      <c r="C87" s="42"/>
      <c r="D87" s="42">
        <f>D58</f>
        <v>0</v>
      </c>
      <c r="E87" s="42" t="s">
        <v>493</v>
      </c>
      <c r="F87" s="42"/>
      <c r="G87" s="42"/>
      <c r="H87" s="42"/>
      <c r="I87" s="42"/>
      <c r="O87" s="127"/>
      <c r="Q87" s="65"/>
    </row>
    <row r="88" spans="1:17" s="1" customFormat="1" x14ac:dyDescent="0.2">
      <c r="A88" s="42" t="s">
        <v>495</v>
      </c>
      <c r="B88" s="42"/>
      <c r="C88" s="42"/>
      <c r="D88" s="42">
        <f>D76*D86</f>
        <v>800</v>
      </c>
      <c r="E88" s="42" t="s">
        <v>494</v>
      </c>
      <c r="F88" s="42"/>
      <c r="G88" s="42"/>
      <c r="H88" s="42"/>
      <c r="I88" s="42"/>
      <c r="O88" s="127"/>
      <c r="Q88" s="65"/>
    </row>
    <row r="89" spans="1:17" s="1" customFormat="1" x14ac:dyDescent="0.2">
      <c r="A89" s="42" t="s">
        <v>490</v>
      </c>
      <c r="B89" s="42"/>
      <c r="C89" s="42"/>
      <c r="D89" s="42">
        <f>D87*D77</f>
        <v>0</v>
      </c>
      <c r="E89" s="42" t="s">
        <v>485</v>
      </c>
      <c r="F89" s="42"/>
      <c r="G89" s="42"/>
      <c r="H89" s="42"/>
      <c r="I89" s="42"/>
      <c r="O89" s="127"/>
      <c r="Q89" s="65"/>
    </row>
    <row r="90" spans="1:17" s="1" customFormat="1" x14ac:dyDescent="0.2">
      <c r="A90" s="42" t="s">
        <v>491</v>
      </c>
      <c r="B90" s="42"/>
      <c r="C90" s="42"/>
      <c r="D90" s="42"/>
      <c r="E90" s="42" t="s">
        <v>493</v>
      </c>
      <c r="F90" s="42"/>
      <c r="G90" s="42"/>
      <c r="H90" s="42"/>
      <c r="I90" s="42"/>
      <c r="O90" s="127"/>
      <c r="Q90" s="65"/>
    </row>
    <row r="91" spans="1:17" s="1" customFormat="1" x14ac:dyDescent="0.2">
      <c r="A91" s="42" t="s">
        <v>496</v>
      </c>
      <c r="B91" s="42"/>
      <c r="C91" s="42"/>
      <c r="D91" s="42">
        <f>D83*D90</f>
        <v>0</v>
      </c>
      <c r="E91" s="42" t="s">
        <v>497</v>
      </c>
      <c r="F91" s="42"/>
      <c r="G91" s="42"/>
      <c r="H91" s="42"/>
      <c r="I91" s="42"/>
      <c r="O91" s="127"/>
      <c r="Q91" s="65"/>
    </row>
    <row r="92" spans="1:17" s="1" customFormat="1" x14ac:dyDescent="0.2">
      <c r="A92" s="42"/>
      <c r="B92" s="42"/>
      <c r="C92" s="42"/>
      <c r="D92" s="42"/>
      <c r="E92" s="42"/>
      <c r="F92" s="42"/>
      <c r="G92" s="42"/>
      <c r="H92" s="42"/>
      <c r="I92" s="42"/>
      <c r="O92" s="127"/>
      <c r="Q92" s="65"/>
    </row>
    <row r="93" spans="1:17" s="1" customFormat="1" x14ac:dyDescent="0.2">
      <c r="A93" s="105" t="s">
        <v>492</v>
      </c>
      <c r="B93" s="105"/>
      <c r="C93" s="105"/>
      <c r="D93" s="105">
        <f>D88+D89+D91</f>
        <v>800</v>
      </c>
      <c r="E93" s="105" t="s">
        <v>130</v>
      </c>
      <c r="F93" s="42"/>
      <c r="G93" s="42"/>
      <c r="H93" s="42"/>
      <c r="I93" s="42"/>
      <c r="O93" s="127"/>
      <c r="Q93" s="65"/>
    </row>
    <row r="94" spans="1:17" x14ac:dyDescent="0.2">
      <c r="A94" s="16"/>
      <c r="B94" s="73"/>
      <c r="C94" s="74"/>
      <c r="D94" s="16"/>
      <c r="E94" s="16"/>
      <c r="F94" s="16"/>
      <c r="G94" s="16"/>
    </row>
    <row r="95" spans="1:17" x14ac:dyDescent="0.2">
      <c r="A95" s="71" t="s">
        <v>501</v>
      </c>
      <c r="B95" s="72"/>
      <c r="C95" s="72"/>
      <c r="D95" s="16"/>
      <c r="E95" s="16"/>
      <c r="F95" s="16"/>
      <c r="G95" s="16"/>
    </row>
    <row r="96" spans="1:17" x14ac:dyDescent="0.2">
      <c r="A96" s="72"/>
      <c r="B96" s="72"/>
      <c r="C96" s="72"/>
      <c r="D96" s="16"/>
      <c r="E96" s="16"/>
      <c r="F96" s="16"/>
      <c r="G96" s="16"/>
    </row>
    <row r="97" spans="1:17" x14ac:dyDescent="0.2">
      <c r="A97" s="16" t="s">
        <v>68</v>
      </c>
      <c r="B97" s="16"/>
      <c r="C97" s="16"/>
      <c r="D97" s="16">
        <f>+D31</f>
        <v>62064.82</v>
      </c>
      <c r="E97" s="16" t="s">
        <v>37</v>
      </c>
      <c r="F97" s="16"/>
      <c r="G97" s="16"/>
      <c r="H97" s="65">
        <f>D97/$D$102</f>
        <v>0.17574290633992992</v>
      </c>
      <c r="I97" s="59"/>
    </row>
    <row r="98" spans="1:17" x14ac:dyDescent="0.2">
      <c r="A98" s="16" t="s">
        <v>58</v>
      </c>
      <c r="B98" s="16"/>
      <c r="C98" s="16"/>
      <c r="D98" s="16">
        <f>D55</f>
        <v>290292.08</v>
      </c>
      <c r="E98" s="16" t="s">
        <v>37</v>
      </c>
      <c r="F98" s="16"/>
      <c r="G98" s="16"/>
      <c r="H98" s="65">
        <f t="shared" ref="H98:H100" si="0">D98/$D$102</f>
        <v>0.82199181157157064</v>
      </c>
      <c r="I98" s="59"/>
    </row>
    <row r="99" spans="1:17" x14ac:dyDescent="0.2">
      <c r="A99" s="16" t="s">
        <v>67</v>
      </c>
      <c r="B99" s="16"/>
      <c r="C99" s="16"/>
      <c r="D99" s="16">
        <f>D68</f>
        <v>0</v>
      </c>
      <c r="E99" s="16" t="s">
        <v>37</v>
      </c>
      <c r="F99" s="16"/>
      <c r="G99" s="16"/>
      <c r="H99" s="65">
        <f t="shared" si="0"/>
        <v>0</v>
      </c>
      <c r="I99" s="59"/>
    </row>
    <row r="100" spans="1:17" x14ac:dyDescent="0.2">
      <c r="A100" s="42" t="s">
        <v>498</v>
      </c>
      <c r="B100" s="16"/>
      <c r="C100" s="16"/>
      <c r="D100" s="16">
        <f>D93</f>
        <v>800</v>
      </c>
      <c r="E100" s="16" t="s">
        <v>37</v>
      </c>
      <c r="F100" s="16"/>
      <c r="G100" s="16"/>
      <c r="H100" s="65">
        <f t="shared" si="0"/>
        <v>2.2652820884994742E-3</v>
      </c>
      <c r="I100" s="59"/>
      <c r="J100" s="59"/>
    </row>
    <row r="101" spans="1:17" x14ac:dyDescent="0.2">
      <c r="A101" s="16"/>
      <c r="B101" s="16"/>
      <c r="C101" s="16"/>
      <c r="D101" s="16"/>
      <c r="E101" s="16"/>
      <c r="F101" s="16"/>
      <c r="G101" s="16"/>
      <c r="H101" s="65">
        <f>H98+H99+H100</f>
        <v>0.82425709366007016</v>
      </c>
    </row>
    <row r="102" spans="1:17" x14ac:dyDescent="0.2">
      <c r="A102" s="31" t="s">
        <v>185</v>
      </c>
      <c r="B102" s="31"/>
      <c r="C102" s="31"/>
      <c r="D102" s="31">
        <f>SUM(D97:D100)</f>
        <v>353156.9</v>
      </c>
      <c r="E102" s="31" t="s">
        <v>130</v>
      </c>
      <c r="F102" s="16"/>
      <c r="G102" s="16"/>
      <c r="I102" s="59"/>
    </row>
    <row r="103" spans="1:17" x14ac:dyDescent="0.2">
      <c r="A103" s="16"/>
      <c r="B103" s="16"/>
      <c r="C103" s="16"/>
      <c r="D103" s="16" t="s">
        <v>8</v>
      </c>
      <c r="E103" s="16"/>
      <c r="F103" s="16"/>
      <c r="G103" s="16"/>
    </row>
    <row r="104" spans="1:17" s="94" customFormat="1" x14ac:dyDescent="0.2">
      <c r="A104" s="105" t="s">
        <v>469</v>
      </c>
      <c r="B104" s="144">
        <f>BDI!C12</f>
        <v>0.29709999999999998</v>
      </c>
      <c r="C104" s="105"/>
      <c r="D104" s="134">
        <f>D106-D102</f>
        <v>104922.91498999996</v>
      </c>
      <c r="E104" s="105" t="s">
        <v>130</v>
      </c>
      <c r="F104" s="131"/>
      <c r="G104" s="44"/>
      <c r="H104" s="38"/>
      <c r="I104" s="65"/>
      <c r="O104" s="142"/>
      <c r="Q104" s="120"/>
    </row>
    <row r="105" spans="1:17" x14ac:dyDescent="0.2">
      <c r="A105" s="16"/>
      <c r="B105" s="16"/>
      <c r="C105" s="16"/>
      <c r="D105" s="16"/>
      <c r="E105" s="16"/>
      <c r="F105" s="123"/>
      <c r="G105" s="124"/>
      <c r="H105" s="16"/>
    </row>
    <row r="106" spans="1:17" x14ac:dyDescent="0.2">
      <c r="A106" s="81" t="s">
        <v>468</v>
      </c>
      <c r="B106" s="84"/>
      <c r="C106" s="84"/>
      <c r="D106" s="31">
        <f>D102*(1+B104)</f>
        <v>458079.81498999998</v>
      </c>
      <c r="E106" s="31" t="s">
        <v>37</v>
      </c>
      <c r="F106" s="122"/>
      <c r="G106" s="121"/>
      <c r="H106" s="16"/>
      <c r="I106" s="83"/>
    </row>
    <row r="107" spans="1:17" ht="12.95" customHeight="1" x14ac:dyDescent="0.2">
      <c r="A107" s="82" t="s">
        <v>298</v>
      </c>
      <c r="B107" s="31"/>
      <c r="C107" s="31"/>
      <c r="D107" s="31">
        <f>DOMICILIAR!D103</f>
        <v>3496.46</v>
      </c>
      <c r="E107" s="31" t="s">
        <v>219</v>
      </c>
      <c r="F107" s="16"/>
      <c r="G107" s="16"/>
    </row>
    <row r="108" spans="1:17" ht="14.25" customHeight="1" x14ac:dyDescent="0.2">
      <c r="A108" s="82" t="s">
        <v>299</v>
      </c>
      <c r="B108" s="31"/>
      <c r="C108" s="31"/>
      <c r="D108" s="31">
        <f>D106/D107</f>
        <v>131.01245688210361</v>
      </c>
      <c r="E108" s="84" t="s">
        <v>563</v>
      </c>
      <c r="F108" s="11"/>
      <c r="G108" s="16"/>
    </row>
    <row r="109" spans="1:17" x14ac:dyDescent="0.2">
      <c r="A109" s="16"/>
      <c r="B109" s="16"/>
      <c r="C109" s="16"/>
      <c r="D109" s="16"/>
      <c r="E109" s="16"/>
      <c r="F109" s="16"/>
      <c r="G109" s="16"/>
    </row>
    <row r="110" spans="1:17" x14ac:dyDescent="0.2">
      <c r="A110" s="88"/>
      <c r="B110" s="88"/>
      <c r="C110" s="88"/>
      <c r="G110" s="16"/>
    </row>
    <row r="111" spans="1:17" x14ac:dyDescent="0.2">
      <c r="D111" s="16"/>
      <c r="G111" s="16"/>
    </row>
    <row r="112" spans="1:17" x14ac:dyDescent="0.2">
      <c r="D112" s="16"/>
      <c r="G112" s="16"/>
    </row>
    <row r="115" spans="4:11" x14ac:dyDescent="0.2">
      <c r="K115" s="59"/>
    </row>
    <row r="116" spans="4:11" x14ac:dyDescent="0.2">
      <c r="K116" s="59"/>
    </row>
    <row r="117" spans="4:11" x14ac:dyDescent="0.2">
      <c r="D117" s="16"/>
      <c r="K117" s="59"/>
    </row>
    <row r="118" spans="4:11" x14ac:dyDescent="0.2">
      <c r="G118" s="11"/>
      <c r="K118" s="59"/>
    </row>
    <row r="119" spans="4:11" x14ac:dyDescent="0.2">
      <c r="K119" s="59"/>
    </row>
    <row r="120" spans="4:11" x14ac:dyDescent="0.2">
      <c r="K120" s="59"/>
    </row>
    <row r="121" spans="4:11" x14ac:dyDescent="0.2">
      <c r="D121" s="16"/>
    </row>
    <row r="122" spans="4:11" x14ac:dyDescent="0.2">
      <c r="K122" s="59"/>
    </row>
  </sheetData>
  <mergeCells count="3">
    <mergeCell ref="A1:E1"/>
    <mergeCell ref="A2:E2"/>
    <mergeCell ref="A7:E7"/>
  </mergeCells>
  <pageMargins left="1.1811023622047245" right="0.78740157480314965" top="1.3779527559055118" bottom="0.98425196850393704" header="0.51181102362204722" footer="0.51181102362204722"/>
  <pageSetup paperSize="9" scale="69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rowBreaks count="1" manualBreakCount="1">
    <brk id="84" max="6" man="1"/>
  </rowBreaks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194"/>
  <sheetViews>
    <sheetView view="pageBreakPreview" topLeftCell="A7" zoomScaleSheetLayoutView="100" workbookViewId="0">
      <selection activeCell="F187" sqref="F187"/>
    </sheetView>
  </sheetViews>
  <sheetFormatPr defaultColWidth="13.33203125" defaultRowHeight="12.75" x14ac:dyDescent="0.2"/>
  <cols>
    <col min="1" max="1" width="59.83203125" style="1" customWidth="1"/>
    <col min="2" max="2" width="12.83203125" style="1" customWidth="1"/>
    <col min="3" max="4" width="18.83203125" style="1" customWidth="1"/>
    <col min="5" max="9" width="13.33203125" style="1"/>
    <col min="10" max="10" width="16" style="1" customWidth="1"/>
    <col min="11" max="16384" width="13.33203125" style="1"/>
  </cols>
  <sheetData>
    <row r="1" spans="1:7" ht="18.75" hidden="1" x14ac:dyDescent="0.2">
      <c r="A1" s="357" t="s">
        <v>215</v>
      </c>
      <c r="B1" s="357"/>
      <c r="C1" s="357"/>
      <c r="D1" s="36"/>
      <c r="E1" s="36"/>
      <c r="F1" s="36"/>
      <c r="G1" s="37"/>
    </row>
    <row r="2" spans="1:7" ht="18" hidden="1" customHeight="1" x14ac:dyDescent="0.2">
      <c r="A2" s="357"/>
      <c r="B2" s="357"/>
      <c r="C2" s="357"/>
      <c r="D2" s="36"/>
      <c r="E2" s="36"/>
      <c r="F2" s="36"/>
      <c r="G2" s="38"/>
    </row>
    <row r="3" spans="1:7" hidden="1" x14ac:dyDescent="0.2">
      <c r="A3" s="39"/>
      <c r="B3" s="39"/>
      <c r="C3" s="39"/>
      <c r="D3" s="39"/>
      <c r="E3" s="39"/>
      <c r="F3" s="39"/>
      <c r="G3" s="39"/>
    </row>
    <row r="4" spans="1:7" hidden="1" x14ac:dyDescent="0.2">
      <c r="A4" s="359"/>
      <c r="B4" s="359"/>
      <c r="C4" s="359"/>
      <c r="D4" s="39"/>
      <c r="E4" s="39"/>
      <c r="F4" s="39"/>
      <c r="G4" s="39"/>
    </row>
    <row r="5" spans="1:7" hidden="1" x14ac:dyDescent="0.2">
      <c r="A5" s="39"/>
      <c r="B5" s="39"/>
      <c r="C5" s="39"/>
      <c r="D5" s="39"/>
      <c r="E5" s="39"/>
      <c r="F5" s="39"/>
      <c r="G5" s="39"/>
    </row>
    <row r="6" spans="1:7" hidden="1" x14ac:dyDescent="0.2">
      <c r="A6" s="40" t="s">
        <v>217</v>
      </c>
      <c r="B6" s="40"/>
      <c r="C6" s="40" t="s">
        <v>211</v>
      </c>
      <c r="D6" s="39"/>
      <c r="F6" s="39"/>
      <c r="G6" s="39"/>
    </row>
    <row r="7" spans="1:7" x14ac:dyDescent="0.2">
      <c r="A7" s="38"/>
      <c r="B7" s="38"/>
      <c r="C7" s="39"/>
      <c r="D7" s="39"/>
      <c r="E7" s="39"/>
      <c r="F7" s="39"/>
    </row>
    <row r="8" spans="1:7" x14ac:dyDescent="0.2">
      <c r="A8" s="356" t="s">
        <v>0</v>
      </c>
      <c r="B8" s="356"/>
      <c r="C8" s="356"/>
      <c r="D8" s="41"/>
      <c r="E8" s="41"/>
      <c r="F8" s="41"/>
    </row>
    <row r="9" spans="1:7" x14ac:dyDescent="0.2">
      <c r="A9" s="42"/>
      <c r="B9" s="42"/>
      <c r="C9" s="42"/>
    </row>
    <row r="10" spans="1:7" x14ac:dyDescent="0.2">
      <c r="A10" s="43" t="s">
        <v>660</v>
      </c>
      <c r="B10" s="43"/>
      <c r="C10" s="44"/>
    </row>
    <row r="12" spans="1:7" x14ac:dyDescent="0.2">
      <c r="A12" s="45" t="s">
        <v>1</v>
      </c>
      <c r="B12" s="115" t="s">
        <v>41</v>
      </c>
      <c r="C12" s="115" t="s">
        <v>330</v>
      </c>
      <c r="D12" s="115" t="s">
        <v>213</v>
      </c>
    </row>
    <row r="13" spans="1:7" x14ac:dyDescent="0.2">
      <c r="A13" s="46"/>
      <c r="B13" s="46"/>
    </row>
    <row r="14" spans="1:7" x14ac:dyDescent="0.2">
      <c r="A14" s="48" t="s">
        <v>568</v>
      </c>
      <c r="B14" s="114">
        <v>1</v>
      </c>
      <c r="C14" s="65">
        <f>'GER I'!B32</f>
        <v>10180.9</v>
      </c>
      <c r="D14" s="65">
        <f>B14*C14</f>
        <v>10180.9</v>
      </c>
    </row>
    <row r="15" spans="1:7" x14ac:dyDescent="0.2">
      <c r="A15" s="48" t="s">
        <v>343</v>
      </c>
      <c r="B15" s="114">
        <v>2</v>
      </c>
      <c r="C15" s="116">
        <f>AGENTE!B32</f>
        <v>3728.5843208333335</v>
      </c>
      <c r="D15" s="65">
        <f>B15*C15</f>
        <v>7457.1686416666671</v>
      </c>
    </row>
    <row r="16" spans="1:7" x14ac:dyDescent="0.2">
      <c r="A16" s="48" t="s">
        <v>651</v>
      </c>
      <c r="B16" s="114">
        <v>2</v>
      </c>
      <c r="C16" s="116">
        <f>Estagiário!B32</f>
        <v>2455.1928333333335</v>
      </c>
      <c r="D16" s="65">
        <f>B16*C16</f>
        <v>4910.385666666667</v>
      </c>
    </row>
    <row r="17" spans="1:13" x14ac:dyDescent="0.2">
      <c r="A17" s="48" t="s">
        <v>344</v>
      </c>
      <c r="B17" s="117">
        <v>3</v>
      </c>
      <c r="C17" s="116">
        <f>VIGIA!B32</f>
        <v>3729.9074308333329</v>
      </c>
      <c r="D17" s="65">
        <f>B17*C17</f>
        <v>11189.722292499999</v>
      </c>
    </row>
    <row r="18" spans="1:13" s="94" customFormat="1" x14ac:dyDescent="0.2">
      <c r="A18" s="55" t="s">
        <v>345</v>
      </c>
      <c r="B18" s="118"/>
      <c r="C18" s="119"/>
      <c r="D18" s="120">
        <f>SUM(D14:D17)</f>
        <v>33738.176600833336</v>
      </c>
      <c r="G18" s="148">
        <f>D18/$C$177</f>
        <v>0.31203807445723392</v>
      </c>
    </row>
    <row r="19" spans="1:13" x14ac:dyDescent="0.2">
      <c r="A19" s="48"/>
      <c r="B19" s="117"/>
      <c r="C19" s="47"/>
    </row>
    <row r="20" spans="1:13" x14ac:dyDescent="0.2">
      <c r="A20" s="45" t="s">
        <v>333</v>
      </c>
      <c r="B20" s="45"/>
      <c r="C20" s="51">
        <v>3</v>
      </c>
      <c r="D20" s="48"/>
    </row>
    <row r="22" spans="1:13" x14ac:dyDescent="0.2">
      <c r="A22" s="46" t="s">
        <v>11</v>
      </c>
      <c r="B22" s="46"/>
    </row>
    <row r="23" spans="1:13" x14ac:dyDescent="0.2">
      <c r="G23" s="1" t="s">
        <v>547</v>
      </c>
    </row>
    <row r="24" spans="1:13" x14ac:dyDescent="0.2">
      <c r="A24" s="46" t="s">
        <v>12</v>
      </c>
      <c r="B24" s="46"/>
      <c r="C24" s="116">
        <f>G24</f>
        <v>68845</v>
      </c>
      <c r="D24" s="1" t="s">
        <v>37</v>
      </c>
      <c r="G24" s="1">
        <v>68845</v>
      </c>
      <c r="I24" t="s">
        <v>522</v>
      </c>
      <c r="J24" t="s">
        <v>523</v>
      </c>
      <c r="K24" s="185" t="s">
        <v>524</v>
      </c>
      <c r="L24" t="s">
        <v>525</v>
      </c>
      <c r="M24" t="s">
        <v>526</v>
      </c>
    </row>
    <row r="25" spans="1:13" x14ac:dyDescent="0.2">
      <c r="A25" s="46" t="s">
        <v>204</v>
      </c>
      <c r="B25" s="46"/>
      <c r="C25" s="47">
        <v>60</v>
      </c>
      <c r="D25" s="1" t="s">
        <v>55</v>
      </c>
      <c r="G25" s="50">
        <f>G24*0.25</f>
        <v>17211.25</v>
      </c>
      <c r="I25">
        <v>1</v>
      </c>
      <c r="J25" s="185">
        <f>$G$24</f>
        <v>68845</v>
      </c>
      <c r="K25" s="185">
        <f>SLN($G$24,$G$25,$G$26)</f>
        <v>10326.75</v>
      </c>
      <c r="L25" s="185">
        <f>K25</f>
        <v>10326.75</v>
      </c>
      <c r="M25" s="185">
        <f>J25-L25</f>
        <v>58518.25</v>
      </c>
    </row>
    <row r="26" spans="1:13" x14ac:dyDescent="0.2">
      <c r="A26" s="46" t="s">
        <v>13</v>
      </c>
      <c r="B26" s="46"/>
      <c r="C26" s="52">
        <v>0.25</v>
      </c>
      <c r="G26" s="1">
        <v>5</v>
      </c>
      <c r="I26">
        <v>2</v>
      </c>
      <c r="J26" s="185">
        <f>$G$24</f>
        <v>68845</v>
      </c>
      <c r="K26" s="185">
        <f>SLN($G$24,$G$25,$G$26)</f>
        <v>10326.75</v>
      </c>
      <c r="L26" s="185">
        <f>K26+L25</f>
        <v>20653.5</v>
      </c>
      <c r="M26" s="185">
        <f>J26-L26</f>
        <v>48191.5</v>
      </c>
    </row>
    <row r="27" spans="1:13" x14ac:dyDescent="0.2">
      <c r="A27" s="46" t="s">
        <v>261</v>
      </c>
      <c r="B27" s="46"/>
      <c r="C27" s="21">
        <f>(C24-G25)/C25</f>
        <v>860.5625</v>
      </c>
      <c r="D27" s="1" t="s">
        <v>130</v>
      </c>
      <c r="I27">
        <v>3</v>
      </c>
      <c r="J27" s="185">
        <f>$G$24</f>
        <v>68845</v>
      </c>
      <c r="K27" s="185">
        <f>SLN($G$24,$G$25,$G$26)</f>
        <v>10326.75</v>
      </c>
      <c r="L27" s="185">
        <f>K27+L26</f>
        <v>30980.25</v>
      </c>
      <c r="M27" s="185">
        <f>J27-L27</f>
        <v>37864.75</v>
      </c>
    </row>
    <row r="28" spans="1:13" x14ac:dyDescent="0.2">
      <c r="I28">
        <v>4</v>
      </c>
      <c r="J28" s="185">
        <f>$G$24</f>
        <v>68845</v>
      </c>
      <c r="K28" s="185">
        <f>SLN($G$24,$G$25,$G$26)</f>
        <v>10326.75</v>
      </c>
      <c r="L28" s="185">
        <f>K28+L27</f>
        <v>41307</v>
      </c>
      <c r="M28" s="185">
        <f>J28-L28</f>
        <v>27538</v>
      </c>
    </row>
    <row r="29" spans="1:13" x14ac:dyDescent="0.2">
      <c r="A29" s="46" t="s">
        <v>14</v>
      </c>
      <c r="B29" s="46"/>
      <c r="I29">
        <v>5</v>
      </c>
      <c r="J29" s="185">
        <f>$G$24</f>
        <v>68845</v>
      </c>
      <c r="K29" s="185">
        <f>SLN($G$24,$G$25,$G$26)</f>
        <v>10326.75</v>
      </c>
      <c r="L29" s="185">
        <f>K29+L28</f>
        <v>51633.75</v>
      </c>
      <c r="M29" s="185">
        <f>J29-L29</f>
        <v>17211.25</v>
      </c>
    </row>
    <row r="31" spans="1:13" x14ac:dyDescent="0.2">
      <c r="A31" s="61" t="s">
        <v>19</v>
      </c>
      <c r="B31" s="53"/>
      <c r="C31" s="42">
        <f>C24</f>
        <v>68845</v>
      </c>
      <c r="D31" s="1" t="s">
        <v>37</v>
      </c>
    </row>
    <row r="32" spans="1:13" x14ac:dyDescent="0.2">
      <c r="A32" s="61" t="s">
        <v>539</v>
      </c>
      <c r="B32" s="53"/>
      <c r="C32" s="54">
        <f>'BASCULANTE 6'!B21</f>
        <v>0.14249999999999999</v>
      </c>
    </row>
    <row r="33" spans="1:6" x14ac:dyDescent="0.2">
      <c r="A33" s="61" t="s">
        <v>21</v>
      </c>
      <c r="B33" s="53"/>
      <c r="C33" s="42">
        <f>((C31-G25)*C32)/12</f>
        <v>613.15078125000002</v>
      </c>
      <c r="D33" s="1" t="s">
        <v>130</v>
      </c>
    </row>
    <row r="34" spans="1:6" x14ac:dyDescent="0.2">
      <c r="A34" s="42" t="s">
        <v>8</v>
      </c>
      <c r="B34" s="42"/>
      <c r="C34" s="42" t="s">
        <v>8</v>
      </c>
    </row>
    <row r="35" spans="1:6" x14ac:dyDescent="0.2">
      <c r="A35" s="42" t="s">
        <v>138</v>
      </c>
      <c r="B35" s="42"/>
      <c r="C35" s="42" t="s">
        <v>8</v>
      </c>
    </row>
    <row r="37" spans="1:6" x14ac:dyDescent="0.2">
      <c r="A37" s="46" t="s">
        <v>133</v>
      </c>
      <c r="B37" s="46"/>
      <c r="C37" s="47">
        <f>DADOS!D20</f>
        <v>6.56</v>
      </c>
      <c r="D37" s="1" t="s">
        <v>205</v>
      </c>
    </row>
    <row r="38" spans="1:6" x14ac:dyDescent="0.2">
      <c r="A38" s="46" t="s">
        <v>665</v>
      </c>
      <c r="B38" s="46"/>
      <c r="C38" s="47">
        <f>50*26</f>
        <v>1300</v>
      </c>
      <c r="D38" s="1" t="s">
        <v>45</v>
      </c>
      <c r="F38" s="50"/>
    </row>
    <row r="39" spans="1:6" x14ac:dyDescent="0.2">
      <c r="A39" s="46" t="s">
        <v>134</v>
      </c>
      <c r="B39" s="46"/>
      <c r="C39" s="47">
        <v>8</v>
      </c>
      <c r="D39" s="1" t="s">
        <v>206</v>
      </c>
    </row>
    <row r="40" spans="1:6" x14ac:dyDescent="0.2">
      <c r="A40" s="48" t="s">
        <v>135</v>
      </c>
      <c r="B40" s="48"/>
      <c r="C40" s="47">
        <f>+C38/C39*C37</f>
        <v>1066</v>
      </c>
      <c r="D40" s="1" t="s">
        <v>130</v>
      </c>
    </row>
    <row r="41" spans="1:6" x14ac:dyDescent="0.2">
      <c r="A41" s="46"/>
      <c r="B41" s="46"/>
      <c r="C41" s="47"/>
    </row>
    <row r="42" spans="1:6" x14ac:dyDescent="0.2">
      <c r="A42" s="42" t="s">
        <v>139</v>
      </c>
      <c r="B42" s="42"/>
      <c r="C42" s="42" t="s">
        <v>8</v>
      </c>
    </row>
    <row r="44" spans="1:6" x14ac:dyDescent="0.2">
      <c r="A44" s="46" t="s">
        <v>212</v>
      </c>
      <c r="B44" s="46"/>
      <c r="C44" s="47">
        <f>4*359.9</f>
        <v>1439.6</v>
      </c>
      <c r="D44" s="49" t="s">
        <v>37</v>
      </c>
    </row>
    <row r="45" spans="1:6" x14ac:dyDescent="0.2">
      <c r="A45" s="46" t="s">
        <v>136</v>
      </c>
      <c r="B45" s="46"/>
      <c r="C45" s="47">
        <v>60000</v>
      </c>
      <c r="D45" s="49" t="s">
        <v>45</v>
      </c>
    </row>
    <row r="46" spans="1:6" x14ac:dyDescent="0.2">
      <c r="A46" s="46" t="s">
        <v>528</v>
      </c>
      <c r="B46" s="46"/>
      <c r="C46" s="47">
        <f>C38</f>
        <v>1300</v>
      </c>
      <c r="D46" s="1" t="s">
        <v>207</v>
      </c>
    </row>
    <row r="47" spans="1:6" x14ac:dyDescent="0.2">
      <c r="A47" s="46" t="s">
        <v>137</v>
      </c>
      <c r="B47" s="46"/>
      <c r="C47" s="47">
        <f>+C44*C46/C45</f>
        <v>31.191333333333329</v>
      </c>
      <c r="D47" s="1" t="s">
        <v>130</v>
      </c>
    </row>
    <row r="48" spans="1:6" x14ac:dyDescent="0.2">
      <c r="A48" s="42"/>
      <c r="B48" s="42"/>
      <c r="C48" s="42"/>
    </row>
    <row r="49" spans="1:7" x14ac:dyDescent="0.2">
      <c r="A49" s="48" t="s">
        <v>140</v>
      </c>
      <c r="B49" s="48"/>
    </row>
    <row r="50" spans="1:7" x14ac:dyDescent="0.2">
      <c r="A50" s="1" t="s">
        <v>7</v>
      </c>
    </row>
    <row r="51" spans="1:7" x14ac:dyDescent="0.2">
      <c r="A51" s="48" t="s">
        <v>141</v>
      </c>
      <c r="B51" s="48"/>
      <c r="C51" s="52">
        <v>0.5</v>
      </c>
    </row>
    <row r="52" spans="1:7" x14ac:dyDescent="0.2">
      <c r="A52" s="46" t="s">
        <v>142</v>
      </c>
      <c r="B52" s="46"/>
      <c r="C52" s="49">
        <f>G24</f>
        <v>68845</v>
      </c>
      <c r="D52" s="1" t="s">
        <v>37</v>
      </c>
    </row>
    <row r="53" spans="1:7" x14ac:dyDescent="0.2">
      <c r="A53" s="46" t="s">
        <v>143</v>
      </c>
      <c r="B53" s="46"/>
      <c r="C53" s="47">
        <v>60</v>
      </c>
      <c r="D53" s="1" t="s">
        <v>55</v>
      </c>
    </row>
    <row r="54" spans="1:7" x14ac:dyDescent="0.2">
      <c r="A54" s="46" t="s">
        <v>144</v>
      </c>
      <c r="B54" s="46"/>
      <c r="C54" s="47">
        <f>+C51*C52/C53</f>
        <v>573.70833333333337</v>
      </c>
      <c r="D54" s="1" t="s">
        <v>130</v>
      </c>
    </row>
    <row r="55" spans="1:7" x14ac:dyDescent="0.2">
      <c r="A55" s="46"/>
      <c r="B55" s="46"/>
      <c r="C55" s="47"/>
    </row>
    <row r="56" spans="1:7" x14ac:dyDescent="0.2">
      <c r="A56" s="46" t="s">
        <v>145</v>
      </c>
      <c r="B56" s="46"/>
      <c r="C56" s="47"/>
    </row>
    <row r="57" spans="1:7" x14ac:dyDescent="0.2">
      <c r="A57" s="48"/>
      <c r="B57" s="48"/>
      <c r="C57" s="47"/>
    </row>
    <row r="58" spans="1:7" x14ac:dyDescent="0.2">
      <c r="A58" s="48" t="s">
        <v>154</v>
      </c>
      <c r="B58" s="48"/>
      <c r="C58" s="47">
        <f>(+C24*8%)/12</f>
        <v>458.9666666666667</v>
      </c>
      <c r="D58" s="1" t="s">
        <v>130</v>
      </c>
    </row>
    <row r="59" spans="1:7" x14ac:dyDescent="0.2">
      <c r="A59" s="48" t="s">
        <v>542</v>
      </c>
      <c r="B59" s="48"/>
      <c r="C59" s="21">
        <f>(96.34+(+C24*1.5%))/12</f>
        <v>94.084583333333327</v>
      </c>
      <c r="D59" s="1" t="s">
        <v>130</v>
      </c>
    </row>
    <row r="60" spans="1:7" x14ac:dyDescent="0.2">
      <c r="A60" s="1" t="s">
        <v>146</v>
      </c>
      <c r="C60" s="49">
        <f>+C58+C59</f>
        <v>553.05124999999998</v>
      </c>
      <c r="D60" s="1" t="s">
        <v>130</v>
      </c>
    </row>
    <row r="62" spans="1:7" x14ac:dyDescent="0.2">
      <c r="A62" s="48" t="s">
        <v>147</v>
      </c>
      <c r="B62" s="48"/>
      <c r="C62" s="49">
        <f>(C60+C54+C47+C40+C33+C27)</f>
        <v>3697.6641979166666</v>
      </c>
      <c r="D62" s="1" t="s">
        <v>130</v>
      </c>
    </row>
    <row r="63" spans="1:7" x14ac:dyDescent="0.2">
      <c r="A63" s="48"/>
      <c r="B63" s="48"/>
      <c r="C63" s="49"/>
    </row>
    <row r="64" spans="1:7" x14ac:dyDescent="0.2">
      <c r="A64" s="55" t="s">
        <v>334</v>
      </c>
      <c r="B64" s="55"/>
      <c r="C64" s="113">
        <f>C62*C20</f>
        <v>11092.992593749999</v>
      </c>
      <c r="D64" s="94" t="s">
        <v>130</v>
      </c>
      <c r="G64" s="148">
        <f>C64/$C$177</f>
        <v>0.10259701020228251</v>
      </c>
    </row>
    <row r="65" spans="1:13" x14ac:dyDescent="0.2">
      <c r="A65" s="48"/>
      <c r="B65" s="48"/>
      <c r="C65" s="49"/>
    </row>
    <row r="66" spans="1:13" x14ac:dyDescent="0.2">
      <c r="A66" s="55" t="s">
        <v>229</v>
      </c>
      <c r="B66" s="55"/>
      <c r="C66" s="51">
        <v>1</v>
      </c>
      <c r="D66" s="48"/>
    </row>
    <row r="68" spans="1:13" x14ac:dyDescent="0.2">
      <c r="A68" s="46" t="s">
        <v>230</v>
      </c>
      <c r="B68" s="46"/>
    </row>
    <row r="69" spans="1:13" x14ac:dyDescent="0.2">
      <c r="F69" s="1" t="s">
        <v>543</v>
      </c>
    </row>
    <row r="70" spans="1:13" x14ac:dyDescent="0.2">
      <c r="A70" s="46" t="s">
        <v>231</v>
      </c>
      <c r="B70" s="46"/>
      <c r="C70" s="47">
        <f>G71</f>
        <v>94897</v>
      </c>
      <c r="D70" s="1" t="s">
        <v>37</v>
      </c>
    </row>
    <row r="71" spans="1:13" x14ac:dyDescent="0.2">
      <c r="A71" s="46" t="s">
        <v>232</v>
      </c>
      <c r="B71" s="46"/>
      <c r="C71" s="47">
        <v>60</v>
      </c>
      <c r="D71" s="1" t="s">
        <v>55</v>
      </c>
      <c r="G71" s="65">
        <v>94897</v>
      </c>
      <c r="I71" t="s">
        <v>522</v>
      </c>
      <c r="J71" t="s">
        <v>523</v>
      </c>
      <c r="K71" s="185" t="s">
        <v>524</v>
      </c>
      <c r="L71" t="s">
        <v>525</v>
      </c>
      <c r="M71" t="s">
        <v>526</v>
      </c>
    </row>
    <row r="72" spans="1:13" x14ac:dyDescent="0.2">
      <c r="A72" s="46" t="s">
        <v>233</v>
      </c>
      <c r="B72" s="46"/>
      <c r="C72" s="52">
        <v>0.25</v>
      </c>
      <c r="G72" s="50">
        <f>G71*0.25</f>
        <v>23724.25</v>
      </c>
      <c r="I72">
        <v>1</v>
      </c>
      <c r="J72" s="185">
        <f>$G$71</f>
        <v>94897</v>
      </c>
      <c r="K72" s="185">
        <f>SLN($G$71,$G$72,$G$73)</f>
        <v>14234.55</v>
      </c>
      <c r="L72" s="185">
        <f>K72</f>
        <v>14234.55</v>
      </c>
      <c r="M72" s="185">
        <f>J72-L72</f>
        <v>80662.45</v>
      </c>
    </row>
    <row r="73" spans="1:13" x14ac:dyDescent="0.2">
      <c r="A73" s="46" t="s">
        <v>262</v>
      </c>
      <c r="B73" s="46"/>
      <c r="C73" s="47">
        <f>(C70-G72)/C71</f>
        <v>1186.2125000000001</v>
      </c>
      <c r="D73" s="1" t="s">
        <v>130</v>
      </c>
      <c r="G73" s="1">
        <v>5</v>
      </c>
      <c r="I73">
        <v>2</v>
      </c>
      <c r="J73" s="185">
        <f>$G$71</f>
        <v>94897</v>
      </c>
      <c r="K73" s="185">
        <f>SLN($G$24,$G$25,$G$26)</f>
        <v>10326.75</v>
      </c>
      <c r="L73" s="185">
        <f>K73+L72</f>
        <v>24561.3</v>
      </c>
      <c r="M73" s="185">
        <f>J73-L73</f>
        <v>70335.7</v>
      </c>
    </row>
    <row r="74" spans="1:13" x14ac:dyDescent="0.2">
      <c r="I74">
        <v>3</v>
      </c>
      <c r="J74" s="185">
        <f>$G$71</f>
        <v>94897</v>
      </c>
      <c r="K74" s="185">
        <f>SLN($G$24,$G$25,$G$26)</f>
        <v>10326.75</v>
      </c>
      <c r="L74" s="185">
        <f>K74+L73</f>
        <v>34888.050000000003</v>
      </c>
      <c r="M74" s="185">
        <f>J74-L74</f>
        <v>60008.95</v>
      </c>
    </row>
    <row r="75" spans="1:13" x14ac:dyDescent="0.2">
      <c r="A75" s="46" t="s">
        <v>234</v>
      </c>
      <c r="B75" s="46"/>
      <c r="I75">
        <v>4</v>
      </c>
      <c r="J75" s="185">
        <f>$G$71</f>
        <v>94897</v>
      </c>
      <c r="K75" s="185">
        <f>SLN($G$24,$G$25,$G$26)</f>
        <v>10326.75</v>
      </c>
      <c r="L75" s="185">
        <f>K75+L74</f>
        <v>45214.8</v>
      </c>
      <c r="M75" s="185">
        <f>J75-L75</f>
        <v>49682.2</v>
      </c>
    </row>
    <row r="76" spans="1:13" x14ac:dyDescent="0.2">
      <c r="I76">
        <v>5</v>
      </c>
      <c r="J76" s="185">
        <f>$G$71</f>
        <v>94897</v>
      </c>
      <c r="K76" s="185">
        <f>SLN($G$24,$G$25,$G$26)</f>
        <v>10326.75</v>
      </c>
      <c r="L76" s="185">
        <f>K76+L75</f>
        <v>55541.55</v>
      </c>
      <c r="M76" s="185">
        <f>J76-L76</f>
        <v>39355.449999999997</v>
      </c>
    </row>
    <row r="77" spans="1:13" x14ac:dyDescent="0.2">
      <c r="A77" s="53" t="s">
        <v>235</v>
      </c>
      <c r="B77" s="53"/>
      <c r="C77" s="42">
        <f>C70</f>
        <v>94897</v>
      </c>
      <c r="D77" s="1" t="s">
        <v>37</v>
      </c>
    </row>
    <row r="78" spans="1:13" x14ac:dyDescent="0.2">
      <c r="A78" s="53" t="s">
        <v>544</v>
      </c>
      <c r="B78" s="53"/>
      <c r="C78" s="54">
        <f>C32</f>
        <v>0.14249999999999999</v>
      </c>
    </row>
    <row r="79" spans="1:13" x14ac:dyDescent="0.2">
      <c r="A79" s="53" t="s">
        <v>236</v>
      </c>
      <c r="B79" s="53"/>
      <c r="C79" s="42">
        <f>((C77-G72)*C78)/12</f>
        <v>845.17640625000001</v>
      </c>
      <c r="D79" s="1" t="s">
        <v>130</v>
      </c>
    </row>
    <row r="80" spans="1:13" x14ac:dyDescent="0.2">
      <c r="A80" s="42" t="s">
        <v>8</v>
      </c>
      <c r="B80" s="42"/>
      <c r="C80" s="42" t="s">
        <v>8</v>
      </c>
    </row>
    <row r="81" spans="1:4" x14ac:dyDescent="0.2">
      <c r="A81" s="42" t="s">
        <v>237</v>
      </c>
      <c r="B81" s="42"/>
      <c r="C81" s="42" t="s">
        <v>8</v>
      </c>
    </row>
    <row r="83" spans="1:4" x14ac:dyDescent="0.2">
      <c r="A83" s="46" t="s">
        <v>238</v>
      </c>
      <c r="B83" s="46"/>
      <c r="C83" s="47">
        <f>DADOS!D21</f>
        <v>6.24</v>
      </c>
      <c r="D83" s="1" t="s">
        <v>205</v>
      </c>
    </row>
    <row r="84" spans="1:4" x14ac:dyDescent="0.2">
      <c r="A84" s="46" t="s">
        <v>666</v>
      </c>
      <c r="B84" s="46"/>
      <c r="C84" s="47">
        <f>50*26</f>
        <v>1300</v>
      </c>
      <c r="D84" s="1" t="s">
        <v>45</v>
      </c>
    </row>
    <row r="85" spans="1:4" x14ac:dyDescent="0.2">
      <c r="A85" s="46" t="s">
        <v>239</v>
      </c>
      <c r="B85" s="46"/>
      <c r="C85" s="47">
        <v>8</v>
      </c>
      <c r="D85" s="1" t="s">
        <v>206</v>
      </c>
    </row>
    <row r="86" spans="1:4" x14ac:dyDescent="0.2">
      <c r="A86" s="48" t="s">
        <v>240</v>
      </c>
      <c r="B86" s="48"/>
      <c r="C86" s="47">
        <f>+C84/C85*C83</f>
        <v>1014</v>
      </c>
      <c r="D86" s="1" t="s">
        <v>130</v>
      </c>
    </row>
    <row r="87" spans="1:4" x14ac:dyDescent="0.2">
      <c r="A87" s="46"/>
      <c r="B87" s="46"/>
      <c r="C87" s="47"/>
    </row>
    <row r="88" spans="1:4" x14ac:dyDescent="0.2">
      <c r="A88" s="42" t="s">
        <v>241</v>
      </c>
      <c r="B88" s="42"/>
      <c r="C88" s="42" t="s">
        <v>8</v>
      </c>
    </row>
    <row r="90" spans="1:4" x14ac:dyDescent="0.2">
      <c r="A90" s="46" t="s">
        <v>242</v>
      </c>
      <c r="B90" s="46"/>
      <c r="C90" s="47">
        <f>399.9*4</f>
        <v>1599.6</v>
      </c>
      <c r="D90" s="49" t="s">
        <v>37</v>
      </c>
    </row>
    <row r="91" spans="1:4" x14ac:dyDescent="0.2">
      <c r="A91" s="46" t="s">
        <v>243</v>
      </c>
      <c r="B91" s="46"/>
      <c r="C91" s="47">
        <v>60000</v>
      </c>
      <c r="D91" s="49" t="s">
        <v>45</v>
      </c>
    </row>
    <row r="92" spans="1:4" x14ac:dyDescent="0.2">
      <c r="A92" s="46" t="s">
        <v>353</v>
      </c>
      <c r="B92" s="46"/>
      <c r="C92" s="47">
        <f>C84</f>
        <v>1300</v>
      </c>
      <c r="D92" s="1" t="s">
        <v>207</v>
      </c>
    </row>
    <row r="93" spans="1:4" x14ac:dyDescent="0.2">
      <c r="A93" s="46" t="s">
        <v>244</v>
      </c>
      <c r="B93" s="46"/>
      <c r="C93" s="47">
        <f>+C90*C92/C91</f>
        <v>34.657999999999994</v>
      </c>
      <c r="D93" s="1" t="s">
        <v>130</v>
      </c>
    </row>
    <row r="94" spans="1:4" x14ac:dyDescent="0.2">
      <c r="A94" s="42"/>
      <c r="B94" s="42"/>
      <c r="C94" s="42"/>
    </row>
    <row r="95" spans="1:4" x14ac:dyDescent="0.2">
      <c r="A95" s="48" t="s">
        <v>245</v>
      </c>
      <c r="B95" s="48"/>
    </row>
    <row r="96" spans="1:4" x14ac:dyDescent="0.2">
      <c r="A96" s="1" t="s">
        <v>7</v>
      </c>
    </row>
    <row r="97" spans="1:7" x14ac:dyDescent="0.2">
      <c r="A97" s="48" t="s">
        <v>246</v>
      </c>
      <c r="B97" s="48"/>
      <c r="C97" s="52">
        <v>0.5</v>
      </c>
    </row>
    <row r="98" spans="1:7" x14ac:dyDescent="0.2">
      <c r="A98" s="46" t="s">
        <v>247</v>
      </c>
      <c r="B98" s="46"/>
      <c r="C98" s="49">
        <f>C77</f>
        <v>94897</v>
      </c>
      <c r="D98" s="1" t="s">
        <v>37</v>
      </c>
    </row>
    <row r="99" spans="1:7" x14ac:dyDescent="0.2">
      <c r="A99" s="46" t="s">
        <v>248</v>
      </c>
      <c r="B99" s="46"/>
      <c r="C99" s="47">
        <v>60</v>
      </c>
      <c r="D99" s="1" t="s">
        <v>55</v>
      </c>
    </row>
    <row r="100" spans="1:7" x14ac:dyDescent="0.2">
      <c r="A100" s="46" t="s">
        <v>249</v>
      </c>
      <c r="B100" s="46"/>
      <c r="C100" s="47">
        <f>+C97*C98/C99</f>
        <v>790.80833333333328</v>
      </c>
      <c r="D100" s="1" t="s">
        <v>130</v>
      </c>
    </row>
    <row r="101" spans="1:7" x14ac:dyDescent="0.2">
      <c r="A101" s="46"/>
      <c r="B101" s="46"/>
      <c r="C101" s="47"/>
    </row>
    <row r="102" spans="1:7" x14ac:dyDescent="0.2">
      <c r="A102" s="46" t="s">
        <v>250</v>
      </c>
      <c r="B102" s="46"/>
      <c r="C102" s="47"/>
    </row>
    <row r="103" spans="1:7" x14ac:dyDescent="0.2">
      <c r="A103" s="48"/>
      <c r="B103" s="48"/>
      <c r="C103" s="47"/>
    </row>
    <row r="104" spans="1:7" x14ac:dyDescent="0.2">
      <c r="A104" s="48" t="s">
        <v>251</v>
      </c>
      <c r="B104" s="48"/>
      <c r="C104" s="47">
        <f>(+C70*8%)/12</f>
        <v>632.64666666666665</v>
      </c>
      <c r="D104" s="1" t="s">
        <v>130</v>
      </c>
    </row>
    <row r="105" spans="1:7" x14ac:dyDescent="0.2">
      <c r="A105" s="48" t="s">
        <v>252</v>
      </c>
      <c r="B105" s="48"/>
      <c r="C105" s="21">
        <f>(96.34+(+C70*1.5%))/12</f>
        <v>126.64958333333333</v>
      </c>
      <c r="D105" s="1" t="s">
        <v>130</v>
      </c>
    </row>
    <row r="106" spans="1:7" x14ac:dyDescent="0.2">
      <c r="A106" s="1" t="s">
        <v>253</v>
      </c>
      <c r="C106" s="49">
        <f>+C104+C105</f>
        <v>759.29624999999999</v>
      </c>
      <c r="D106" s="1" t="s">
        <v>130</v>
      </c>
    </row>
    <row r="108" spans="1:7" x14ac:dyDescent="0.2">
      <c r="A108" s="48" t="s">
        <v>254</v>
      </c>
      <c r="B108" s="48"/>
      <c r="C108" s="49">
        <f>(C106+C100+C93+C86+C79+C73)</f>
        <v>4630.1514895833334</v>
      </c>
      <c r="D108" s="1" t="s">
        <v>130</v>
      </c>
    </row>
    <row r="109" spans="1:7" x14ac:dyDescent="0.2">
      <c r="A109" s="48"/>
      <c r="B109" s="48"/>
      <c r="C109" s="49"/>
    </row>
    <row r="110" spans="1:7" x14ac:dyDescent="0.2">
      <c r="A110" s="55" t="s">
        <v>335</v>
      </c>
      <c r="B110" s="55"/>
      <c r="C110" s="113">
        <f>C108*C66</f>
        <v>4630.1514895833334</v>
      </c>
      <c r="D110" s="94" t="s">
        <v>130</v>
      </c>
      <c r="G110" s="148">
        <f>C110/$C$177</f>
        <v>4.2823403657777717E-2</v>
      </c>
    </row>
    <row r="112" spans="1:7" x14ac:dyDescent="0.2">
      <c r="A112" s="55" t="s">
        <v>255</v>
      </c>
      <c r="B112" s="55"/>
      <c r="C112" s="51">
        <v>5</v>
      </c>
      <c r="D112" s="48"/>
    </row>
    <row r="114" spans="1:4" x14ac:dyDescent="0.2">
      <c r="A114" s="46" t="s">
        <v>256</v>
      </c>
      <c r="B114" s="46"/>
    </row>
    <row r="116" spans="1:4" x14ac:dyDescent="0.2">
      <c r="A116" s="46" t="s">
        <v>257</v>
      </c>
      <c r="B116" s="46"/>
      <c r="C116" s="47">
        <v>15933</v>
      </c>
      <c r="D116" s="1" t="s">
        <v>37</v>
      </c>
    </row>
    <row r="117" spans="1:4" x14ac:dyDescent="0.2">
      <c r="A117" s="46" t="s">
        <v>258</v>
      </c>
      <c r="B117" s="46"/>
      <c r="C117" s="47">
        <v>60</v>
      </c>
      <c r="D117" s="1" t="s">
        <v>55</v>
      </c>
    </row>
    <row r="118" spans="1:4" x14ac:dyDescent="0.2">
      <c r="A118" s="46" t="s">
        <v>259</v>
      </c>
      <c r="B118" s="46"/>
      <c r="C118" s="52">
        <v>0.25</v>
      </c>
    </row>
    <row r="119" spans="1:4" x14ac:dyDescent="0.2">
      <c r="A119" s="46" t="s">
        <v>260</v>
      </c>
      <c r="B119" s="46"/>
      <c r="C119" s="47">
        <f>((+C116)-(+C116*C118))/C117</f>
        <v>199.16249999999999</v>
      </c>
      <c r="D119" s="1" t="s">
        <v>130</v>
      </c>
    </row>
    <row r="121" spans="1:4" x14ac:dyDescent="0.2">
      <c r="A121" s="46" t="s">
        <v>263</v>
      </c>
      <c r="B121" s="46"/>
    </row>
    <row r="123" spans="1:4" x14ac:dyDescent="0.2">
      <c r="A123" s="53" t="s">
        <v>264</v>
      </c>
      <c r="B123" s="53"/>
      <c r="C123" s="42">
        <v>16309</v>
      </c>
      <c r="D123" s="1" t="s">
        <v>37</v>
      </c>
    </row>
    <row r="124" spans="1:4" x14ac:dyDescent="0.2">
      <c r="A124" s="53" t="s">
        <v>545</v>
      </c>
      <c r="B124" s="53"/>
      <c r="C124" s="54">
        <f>C78</f>
        <v>0.14249999999999999</v>
      </c>
    </row>
    <row r="125" spans="1:4" x14ac:dyDescent="0.2">
      <c r="A125" s="53" t="s">
        <v>265</v>
      </c>
      <c r="B125" s="53"/>
      <c r="C125" s="42">
        <f>((C116-(C116*C118))*C124)/12</f>
        <v>141.90328124999999</v>
      </c>
      <c r="D125" s="1" t="s">
        <v>130</v>
      </c>
    </row>
    <row r="126" spans="1:4" x14ac:dyDescent="0.2">
      <c r="A126" s="42" t="s">
        <v>8</v>
      </c>
      <c r="B126" s="42"/>
      <c r="C126" s="42" t="s">
        <v>8</v>
      </c>
    </row>
    <row r="127" spans="1:4" x14ac:dyDescent="0.2">
      <c r="A127" s="42" t="s">
        <v>266</v>
      </c>
      <c r="B127" s="42"/>
      <c r="C127" s="42" t="s">
        <v>8</v>
      </c>
    </row>
    <row r="129" spans="1:10" x14ac:dyDescent="0.2">
      <c r="A129" s="46" t="s">
        <v>267</v>
      </c>
      <c r="B129" s="46"/>
      <c r="C129" s="47">
        <f>DADOS!D20</f>
        <v>6.56</v>
      </c>
      <c r="D129" s="1" t="s">
        <v>205</v>
      </c>
    </row>
    <row r="130" spans="1:10" x14ac:dyDescent="0.2">
      <c r="A130" s="46" t="s">
        <v>530</v>
      </c>
      <c r="B130" s="46"/>
      <c r="C130" s="47">
        <f>50*26</f>
        <v>1300</v>
      </c>
      <c r="D130" s="1" t="s">
        <v>45</v>
      </c>
    </row>
    <row r="131" spans="1:10" x14ac:dyDescent="0.2">
      <c r="A131" s="46" t="s">
        <v>268</v>
      </c>
      <c r="B131" s="46"/>
      <c r="C131" s="47">
        <v>41.5</v>
      </c>
      <c r="D131" s="1" t="s">
        <v>206</v>
      </c>
    </row>
    <row r="132" spans="1:10" x14ac:dyDescent="0.2">
      <c r="A132" s="48" t="s">
        <v>269</v>
      </c>
      <c r="B132" s="48"/>
      <c r="C132" s="47">
        <f>+C130/C131*C129</f>
        <v>205.49397590361443</v>
      </c>
      <c r="D132" s="1" t="s">
        <v>130</v>
      </c>
    </row>
    <row r="133" spans="1:10" x14ac:dyDescent="0.2">
      <c r="A133" s="46"/>
      <c r="B133" s="46"/>
      <c r="C133" s="47"/>
    </row>
    <row r="134" spans="1:10" x14ac:dyDescent="0.2">
      <c r="A134" s="42" t="s">
        <v>270</v>
      </c>
      <c r="B134" s="42"/>
      <c r="C134" s="42" t="s">
        <v>8</v>
      </c>
    </row>
    <row r="136" spans="1:10" x14ac:dyDescent="0.2">
      <c r="A136" s="46" t="s">
        <v>271</v>
      </c>
      <c r="B136" s="46"/>
      <c r="C136" s="47">
        <f>124.9*2</f>
        <v>249.8</v>
      </c>
      <c r="D136" s="49" t="s">
        <v>37</v>
      </c>
    </row>
    <row r="137" spans="1:10" x14ac:dyDescent="0.2">
      <c r="A137" s="46" t="s">
        <v>272</v>
      </c>
      <c r="B137" s="46"/>
      <c r="C137" s="47">
        <v>20000</v>
      </c>
      <c r="D137" s="49" t="s">
        <v>45</v>
      </c>
    </row>
    <row r="138" spans="1:10" x14ac:dyDescent="0.2">
      <c r="A138" s="46" t="s">
        <v>529</v>
      </c>
      <c r="B138" s="46"/>
      <c r="C138" s="47">
        <f>C130</f>
        <v>1300</v>
      </c>
      <c r="D138" s="1" t="s">
        <v>207</v>
      </c>
    </row>
    <row r="139" spans="1:10" x14ac:dyDescent="0.2">
      <c r="A139" s="46" t="s">
        <v>273</v>
      </c>
      <c r="B139" s="46"/>
      <c r="C139" s="47">
        <f>+C136*C138/C137</f>
        <v>16.236999999999998</v>
      </c>
      <c r="D139" s="1" t="s">
        <v>130</v>
      </c>
    </row>
    <row r="140" spans="1:10" x14ac:dyDescent="0.2">
      <c r="A140" s="42"/>
      <c r="B140" s="42"/>
      <c r="C140" s="42"/>
    </row>
    <row r="141" spans="1:10" x14ac:dyDescent="0.2">
      <c r="A141" s="48" t="s">
        <v>274</v>
      </c>
      <c r="B141" s="48"/>
    </row>
    <row r="142" spans="1:10" x14ac:dyDescent="0.2">
      <c r="A142" s="1" t="s">
        <v>7</v>
      </c>
    </row>
    <row r="143" spans="1:10" x14ac:dyDescent="0.2">
      <c r="A143" s="48" t="s">
        <v>275</v>
      </c>
      <c r="B143" s="48"/>
      <c r="C143" s="192">
        <f>44.65%</f>
        <v>0.44650000000000001</v>
      </c>
    </row>
    <row r="144" spans="1:10" x14ac:dyDescent="0.2">
      <c r="A144" s="46" t="s">
        <v>276</v>
      </c>
      <c r="B144" s="46"/>
      <c r="C144" s="49">
        <f>C123</f>
        <v>16309</v>
      </c>
      <c r="D144" s="1" t="s">
        <v>37</v>
      </c>
      <c r="F144" s="1">
        <v>781</v>
      </c>
      <c r="G144" s="1" t="s">
        <v>535</v>
      </c>
      <c r="H144" s="1">
        <f>8.93%</f>
        <v>8.929999999999999E-2</v>
      </c>
      <c r="J144" s="1">
        <f>H144*5</f>
        <v>0.44649999999999995</v>
      </c>
    </row>
    <row r="145" spans="1:7" x14ac:dyDescent="0.2">
      <c r="A145" s="46" t="s">
        <v>277</v>
      </c>
      <c r="B145" s="46"/>
      <c r="C145" s="47">
        <v>60</v>
      </c>
      <c r="D145" s="1" t="s">
        <v>55</v>
      </c>
    </row>
    <row r="146" spans="1:7" x14ac:dyDescent="0.2">
      <c r="A146" s="46" t="s">
        <v>278</v>
      </c>
      <c r="B146" s="46"/>
      <c r="C146" s="47">
        <f>+C143*C144/C145</f>
        <v>121.36614166666666</v>
      </c>
      <c r="D146" s="1" t="s">
        <v>130</v>
      </c>
    </row>
    <row r="147" spans="1:7" x14ac:dyDescent="0.2">
      <c r="A147" s="46"/>
      <c r="B147" s="46"/>
      <c r="C147" s="47"/>
    </row>
    <row r="148" spans="1:7" x14ac:dyDescent="0.2">
      <c r="A148" s="46" t="s">
        <v>279</v>
      </c>
      <c r="B148" s="46"/>
      <c r="C148" s="47"/>
    </row>
    <row r="149" spans="1:7" x14ac:dyDescent="0.2">
      <c r="A149" s="48"/>
      <c r="B149" s="48"/>
      <c r="C149" s="47"/>
    </row>
    <row r="150" spans="1:7" x14ac:dyDescent="0.2">
      <c r="A150" s="48" t="s">
        <v>280</v>
      </c>
      <c r="B150" s="48"/>
      <c r="C150" s="47">
        <f>(+C116*8%)/12</f>
        <v>106.22000000000001</v>
      </c>
      <c r="D150" s="1" t="s">
        <v>130</v>
      </c>
    </row>
    <row r="151" spans="1:7" x14ac:dyDescent="0.2">
      <c r="A151" s="48" t="s">
        <v>281</v>
      </c>
      <c r="B151" s="48"/>
      <c r="C151" s="47">
        <v>8.58</v>
      </c>
      <c r="D151" s="1" t="s">
        <v>130</v>
      </c>
    </row>
    <row r="152" spans="1:7" x14ac:dyDescent="0.2">
      <c r="A152" s="1" t="s">
        <v>282</v>
      </c>
      <c r="C152" s="49">
        <f>+C150+C151</f>
        <v>114.80000000000001</v>
      </c>
      <c r="D152" s="1" t="s">
        <v>130</v>
      </c>
    </row>
    <row r="154" spans="1:7" x14ac:dyDescent="0.2">
      <c r="A154" s="48" t="s">
        <v>283</v>
      </c>
      <c r="B154" s="48"/>
      <c r="C154" s="49">
        <f>(C152+C146+C139+C132+C125+C119)</f>
        <v>798.96289882028111</v>
      </c>
      <c r="D154" s="1" t="s">
        <v>130</v>
      </c>
    </row>
    <row r="155" spans="1:7" x14ac:dyDescent="0.2">
      <c r="A155" s="48"/>
      <c r="B155" s="48"/>
      <c r="C155" s="49"/>
    </row>
    <row r="156" spans="1:7" x14ac:dyDescent="0.2">
      <c r="A156" s="55" t="s">
        <v>336</v>
      </c>
      <c r="B156" s="55"/>
      <c r="C156" s="113">
        <f>C154*C112</f>
        <v>3994.8144941014057</v>
      </c>
      <c r="D156" s="94" t="s">
        <v>130</v>
      </c>
      <c r="G156" s="148">
        <f>C156/$C$177</f>
        <v>3.6947290818391834E-2</v>
      </c>
    </row>
    <row r="157" spans="1:7" x14ac:dyDescent="0.2">
      <c r="A157" s="55"/>
      <c r="B157" s="55"/>
      <c r="C157" s="113"/>
      <c r="D157" s="94"/>
      <c r="G157" s="147"/>
    </row>
    <row r="158" spans="1:7" x14ac:dyDescent="0.2">
      <c r="A158" s="55" t="s">
        <v>673</v>
      </c>
      <c r="B158" s="55"/>
      <c r="C158" s="51">
        <v>2</v>
      </c>
      <c r="D158" s="48"/>
    </row>
    <row r="159" spans="1:7" x14ac:dyDescent="0.2">
      <c r="A159" s="55"/>
      <c r="B159" s="55"/>
      <c r="C159" s="113"/>
      <c r="D159" s="94"/>
      <c r="G159" s="147"/>
    </row>
    <row r="160" spans="1:7" x14ac:dyDescent="0.2">
      <c r="A160" s="46" t="s">
        <v>676</v>
      </c>
      <c r="B160" s="46"/>
      <c r="C160" s="47">
        <f>VAN!B62</f>
        <v>13553.648688344831</v>
      </c>
      <c r="D160" s="49" t="s">
        <v>130</v>
      </c>
      <c r="G160" s="147"/>
    </row>
    <row r="161" spans="1:9" x14ac:dyDescent="0.2">
      <c r="A161" s="46" t="s">
        <v>677</v>
      </c>
      <c r="B161" s="46"/>
      <c r="C161" s="47">
        <f>REBOQUE!B62</f>
        <v>794.88192000000004</v>
      </c>
      <c r="D161" s="49" t="s">
        <v>130</v>
      </c>
      <c r="G161" s="147"/>
    </row>
    <row r="162" spans="1:9" x14ac:dyDescent="0.2">
      <c r="A162" s="46" t="s">
        <v>679</v>
      </c>
      <c r="B162" s="55"/>
      <c r="C162" s="49">
        <f>MOTORISTA!B32</f>
        <v>6484.3952558333331</v>
      </c>
      <c r="D162" s="49" t="s">
        <v>130</v>
      </c>
      <c r="G162" s="147"/>
    </row>
    <row r="163" spans="1:9" x14ac:dyDescent="0.2">
      <c r="A163" s="55"/>
      <c r="B163" s="55"/>
      <c r="C163" s="113"/>
      <c r="D163" s="94"/>
      <c r="G163" s="147"/>
    </row>
    <row r="164" spans="1:9" x14ac:dyDescent="0.2">
      <c r="A164" s="48" t="s">
        <v>678</v>
      </c>
      <c r="B164" s="48"/>
      <c r="C164" s="49">
        <f>C160+C161+C162</f>
        <v>20832.925864178163</v>
      </c>
      <c r="D164" s="1" t="s">
        <v>130</v>
      </c>
    </row>
    <row r="165" spans="1:9" x14ac:dyDescent="0.2">
      <c r="A165" s="48"/>
      <c r="B165" s="48"/>
      <c r="C165" s="49"/>
    </row>
    <row r="166" spans="1:9" x14ac:dyDescent="0.2">
      <c r="A166" s="55" t="s">
        <v>680</v>
      </c>
      <c r="B166" s="55"/>
      <c r="C166" s="113">
        <f>C158*C164</f>
        <v>41665.851728356327</v>
      </c>
      <c r="D166" s="94" t="s">
        <v>130</v>
      </c>
      <c r="G166" s="148">
        <f>C166/$C$177</f>
        <v>0.38535965644378617</v>
      </c>
    </row>
    <row r="167" spans="1:9" x14ac:dyDescent="0.2">
      <c r="A167" s="55"/>
      <c r="B167" s="55"/>
      <c r="C167" s="113"/>
      <c r="D167" s="94"/>
      <c r="G167" s="147"/>
    </row>
    <row r="168" spans="1:9" x14ac:dyDescent="0.2">
      <c r="A168" s="45" t="s">
        <v>668</v>
      </c>
      <c r="B168" s="45"/>
    </row>
    <row r="169" spans="1:9" x14ac:dyDescent="0.2">
      <c r="A169" s="46"/>
      <c r="B169" s="46"/>
    </row>
    <row r="170" spans="1:9" x14ac:dyDescent="0.2">
      <c r="A170" s="46" t="s">
        <v>669</v>
      </c>
      <c r="B170" s="46"/>
      <c r="C170" s="47">
        <v>10000</v>
      </c>
      <c r="D170" s="1" t="s">
        <v>130</v>
      </c>
    </row>
    <row r="171" spans="1:9" hidden="1" x14ac:dyDescent="0.2">
      <c r="A171" s="46" t="s">
        <v>521</v>
      </c>
      <c r="B171" s="46"/>
      <c r="C171" s="47"/>
      <c r="D171" s="1" t="s">
        <v>130</v>
      </c>
    </row>
    <row r="172" spans="1:9" x14ac:dyDescent="0.2">
      <c r="A172" s="46" t="s">
        <v>670</v>
      </c>
      <c r="B172" s="46"/>
      <c r="C172" s="47">
        <v>2000</v>
      </c>
      <c r="D172" s="1" t="s">
        <v>130</v>
      </c>
    </row>
    <row r="173" spans="1:9" x14ac:dyDescent="0.2">
      <c r="A173" s="48" t="s">
        <v>671</v>
      </c>
      <c r="B173" s="48"/>
      <c r="C173" s="47">
        <v>1000</v>
      </c>
      <c r="D173" s="1" t="s">
        <v>130</v>
      </c>
    </row>
    <row r="174" spans="1:9" hidden="1" x14ac:dyDescent="0.2">
      <c r="A174" s="360" t="s">
        <v>667</v>
      </c>
      <c r="B174" s="360"/>
      <c r="C174" s="47"/>
      <c r="D174" s="1" t="s">
        <v>130</v>
      </c>
    </row>
    <row r="175" spans="1:9" x14ac:dyDescent="0.2">
      <c r="A175" s="46" t="s">
        <v>672</v>
      </c>
      <c r="B175" s="46"/>
      <c r="C175" s="47">
        <f>SUM(C170:C174)</f>
        <v>13000</v>
      </c>
      <c r="D175" s="1" t="s">
        <v>130</v>
      </c>
      <c r="G175" s="148">
        <f>(C175)/$C$177</f>
        <v>0.12023456442052785</v>
      </c>
      <c r="I175" s="207">
        <f>G64+G110+G156+G166+G175</f>
        <v>0.68796192554276603</v>
      </c>
    </row>
    <row r="176" spans="1:9" x14ac:dyDescent="0.2">
      <c r="A176" s="46"/>
      <c r="B176" s="46"/>
      <c r="C176" s="47"/>
    </row>
    <row r="177" spans="1:17" x14ac:dyDescent="0.2">
      <c r="A177" s="56" t="s">
        <v>451</v>
      </c>
      <c r="B177" s="56"/>
      <c r="C177" s="57">
        <f>D18+C64+C110+C156+C166+C175</f>
        <v>108121.9869066244</v>
      </c>
      <c r="D177" s="58" t="s">
        <v>130</v>
      </c>
      <c r="G177" s="147"/>
    </row>
    <row r="178" spans="1:17" x14ac:dyDescent="0.2">
      <c r="A178" s="174"/>
      <c r="B178" s="174"/>
      <c r="C178" s="175"/>
      <c r="D178" s="176"/>
      <c r="G178" s="147"/>
    </row>
    <row r="179" spans="1:17" x14ac:dyDescent="0.2">
      <c r="A179" s="105" t="s">
        <v>449</v>
      </c>
      <c r="B179" s="144">
        <f>BDI!C12</f>
        <v>0.29709999999999998</v>
      </c>
      <c r="C179" s="134">
        <f>C181-C177</f>
        <v>32123.042309958109</v>
      </c>
      <c r="D179" s="282" t="str">
        <f>D177</f>
        <v>R$/mês</v>
      </c>
      <c r="E179" s="105"/>
      <c r="F179" s="134"/>
      <c r="G179" s="105"/>
    </row>
    <row r="180" spans="1:17" x14ac:dyDescent="0.2">
      <c r="A180" s="178"/>
      <c r="B180" s="174"/>
      <c r="C180" s="175"/>
      <c r="D180" s="176"/>
      <c r="G180" s="147"/>
    </row>
    <row r="181" spans="1:17" x14ac:dyDescent="0.2">
      <c r="A181" s="143" t="s">
        <v>450</v>
      </c>
      <c r="B181" s="111"/>
      <c r="C181" s="177">
        <f>C177*(1+B179)</f>
        <v>140245.02921658251</v>
      </c>
      <c r="D181" s="105" t="s">
        <v>37</v>
      </c>
      <c r="E181" s="105"/>
      <c r="G181" s="147"/>
    </row>
    <row r="182" spans="1:17" x14ac:dyDescent="0.2">
      <c r="A182" s="112" t="s">
        <v>452</v>
      </c>
      <c r="B182" s="105"/>
      <c r="C182" s="105">
        <v>1</v>
      </c>
      <c r="D182" s="105" t="s">
        <v>454</v>
      </c>
      <c r="E182" s="105"/>
      <c r="G182" s="147"/>
    </row>
    <row r="183" spans="1:17" x14ac:dyDescent="0.2">
      <c r="A183" s="112" t="s">
        <v>453</v>
      </c>
      <c r="B183" s="105"/>
      <c r="C183" s="105">
        <f>ROUND(C181/C182,2)</f>
        <v>140245.03</v>
      </c>
      <c r="D183" s="105" t="str">
        <f>D177</f>
        <v>R$/mês</v>
      </c>
      <c r="E183" s="105"/>
      <c r="G183" s="147"/>
    </row>
    <row r="184" spans="1:17" s="94" customFormat="1" hidden="1" x14ac:dyDescent="0.2">
      <c r="A184" s="42"/>
      <c r="B184" s="42"/>
      <c r="C184" s="42"/>
      <c r="D184" s="42"/>
      <c r="E184" s="42"/>
      <c r="F184" s="42"/>
      <c r="G184" s="42"/>
      <c r="H184" s="38"/>
      <c r="I184" s="65"/>
      <c r="O184" s="142"/>
      <c r="Q184" s="120"/>
    </row>
    <row r="185" spans="1:17" s="11" customFormat="1" hidden="1" x14ac:dyDescent="0.2">
      <c r="A185" s="143" t="s">
        <v>377</v>
      </c>
      <c r="B185" s="111"/>
      <c r="C185" s="111"/>
      <c r="D185" s="105">
        <f>D176*BDI!C129</f>
        <v>0</v>
      </c>
      <c r="E185" s="105"/>
      <c r="F185" s="134"/>
      <c r="G185" s="105"/>
      <c r="H185" s="16"/>
    </row>
    <row r="186" spans="1:17" s="11" customFormat="1" hidden="1" x14ac:dyDescent="0.2">
      <c r="A186" s="112" t="s">
        <v>298</v>
      </c>
      <c r="B186" s="105"/>
      <c r="C186" s="105"/>
      <c r="D186" s="105">
        <v>1654</v>
      </c>
      <c r="E186" s="105"/>
      <c r="F186" s="134"/>
      <c r="G186" s="105"/>
      <c r="H186" s="16"/>
      <c r="I186" s="83"/>
      <c r="K186" s="11">
        <f>10*30</f>
        <v>300</v>
      </c>
      <c r="M186" s="11">
        <f>110*9</f>
        <v>990</v>
      </c>
    </row>
    <row r="187" spans="1:17" x14ac:dyDescent="0.2">
      <c r="A187" s="112"/>
      <c r="B187" s="105"/>
      <c r="C187" s="105"/>
      <c r="D187" s="105"/>
      <c r="E187" s="105"/>
      <c r="F187" s="134"/>
      <c r="G187" s="105"/>
    </row>
    <row r="191" spans="1:17" x14ac:dyDescent="0.2">
      <c r="C191" s="16"/>
    </row>
    <row r="192" spans="1:17" x14ac:dyDescent="0.2">
      <c r="C192" s="125"/>
    </row>
    <row r="193" spans="3:3" x14ac:dyDescent="0.2">
      <c r="C193" s="13"/>
    </row>
    <row r="194" spans="3:3" x14ac:dyDescent="0.2">
      <c r="C194" s="89"/>
    </row>
  </sheetData>
  <mergeCells count="5">
    <mergeCell ref="A1:C1"/>
    <mergeCell ref="A2:C2"/>
    <mergeCell ref="A4:C4"/>
    <mergeCell ref="A8:C8"/>
    <mergeCell ref="A174:B174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rowBreaks count="2" manualBreakCount="2">
    <brk id="64" max="3" man="1"/>
    <brk id="119" max="3" man="1"/>
  </rowBreaks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29DB-B47E-4B13-8B8F-777671C0C21E}">
  <dimension ref="A2:V54"/>
  <sheetViews>
    <sheetView view="pageBreakPreview" topLeftCell="A8" zoomScaleNormal="100" zoomScaleSheetLayoutView="100" workbookViewId="0">
      <selection activeCell="C13" sqref="C13"/>
    </sheetView>
  </sheetViews>
  <sheetFormatPr defaultColWidth="9.33203125" defaultRowHeight="12" x14ac:dyDescent="0.2"/>
  <cols>
    <col min="1" max="1" width="5.6640625" style="96" customWidth="1"/>
    <col min="2" max="2" width="18.6640625" style="259" customWidth="1"/>
    <col min="3" max="17" width="9.6640625" style="97" customWidth="1"/>
    <col min="18" max="18" width="8.5" style="97" bestFit="1" customWidth="1"/>
    <col min="19" max="19" width="8.5" style="96" bestFit="1" customWidth="1"/>
    <col min="20" max="20" width="10.1640625" style="96" customWidth="1"/>
    <col min="21" max="21" width="9.6640625" style="97" customWidth="1"/>
    <col min="22" max="16384" width="9.33203125" style="96"/>
  </cols>
  <sheetData>
    <row r="2" spans="1:21" s="259" customFormat="1" ht="48" x14ac:dyDescent="0.2">
      <c r="A2" s="289" t="s">
        <v>96</v>
      </c>
      <c r="B2" s="289" t="s">
        <v>97</v>
      </c>
      <c r="C2" s="296" t="s">
        <v>642</v>
      </c>
      <c r="D2" s="296" t="s">
        <v>643</v>
      </c>
      <c r="E2" s="296" t="s">
        <v>716</v>
      </c>
      <c r="F2" s="296" t="s">
        <v>717</v>
      </c>
      <c r="G2" s="296" t="s">
        <v>718</v>
      </c>
      <c r="H2" s="296" t="s">
        <v>719</v>
      </c>
      <c r="I2" s="296" t="s">
        <v>720</v>
      </c>
      <c r="J2" s="296" t="s">
        <v>721</v>
      </c>
      <c r="K2" s="296" t="s">
        <v>722</v>
      </c>
      <c r="L2" s="296" t="s">
        <v>723</v>
      </c>
      <c r="M2" s="296" t="s">
        <v>724</v>
      </c>
      <c r="N2" s="296" t="s">
        <v>725</v>
      </c>
      <c r="O2" s="296" t="s">
        <v>726</v>
      </c>
      <c r="P2" s="296" t="s">
        <v>727</v>
      </c>
      <c r="Q2" s="296" t="s">
        <v>761</v>
      </c>
      <c r="R2" s="296" t="s">
        <v>728</v>
      </c>
      <c r="S2" s="289" t="s">
        <v>729</v>
      </c>
      <c r="T2" s="289" t="s">
        <v>730</v>
      </c>
      <c r="U2" s="296" t="s">
        <v>731</v>
      </c>
    </row>
    <row r="3" spans="1:21" ht="15" customHeight="1" x14ac:dyDescent="0.2">
      <c r="A3" s="297">
        <v>1</v>
      </c>
      <c r="B3" s="6" t="s">
        <v>115</v>
      </c>
      <c r="C3" s="298">
        <v>49.9</v>
      </c>
      <c r="D3" s="298"/>
      <c r="E3" s="298"/>
      <c r="F3" s="298">
        <v>42.9</v>
      </c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5">
        <f t="shared" ref="R3:R26" si="0">AVERAGEIF(C3:Q3,"&gt;0")</f>
        <v>46.4</v>
      </c>
      <c r="S3" s="299">
        <v>3</v>
      </c>
      <c r="T3" s="299">
        <v>1</v>
      </c>
      <c r="U3" s="5">
        <f>(T3*R3)/S3</f>
        <v>15.466666666666667</v>
      </c>
    </row>
    <row r="4" spans="1:21" ht="15" customHeight="1" x14ac:dyDescent="0.2">
      <c r="A4" s="297">
        <v>2</v>
      </c>
      <c r="B4" s="6" t="s">
        <v>552</v>
      </c>
      <c r="C4" s="298">
        <v>44.5</v>
      </c>
      <c r="D4" s="298">
        <v>35.99</v>
      </c>
      <c r="E4" s="298">
        <v>39.99</v>
      </c>
      <c r="F4" s="298">
        <v>42.9</v>
      </c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5">
        <f t="shared" si="0"/>
        <v>40.845000000000006</v>
      </c>
      <c r="S4" s="299">
        <v>3</v>
      </c>
      <c r="T4" s="299">
        <v>1</v>
      </c>
      <c r="U4" s="5">
        <f t="shared" ref="U4:U25" si="1">(T4*R4)/S4</f>
        <v>13.615000000000002</v>
      </c>
    </row>
    <row r="5" spans="1:21" ht="15" customHeight="1" x14ac:dyDescent="0.2">
      <c r="A5" s="297">
        <v>3</v>
      </c>
      <c r="B5" s="6" t="s">
        <v>99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>
        <v>130.9</v>
      </c>
      <c r="N5" s="298"/>
      <c r="O5" s="298"/>
      <c r="P5" s="298"/>
      <c r="Q5" s="298"/>
      <c r="R5" s="5">
        <f t="shared" si="0"/>
        <v>130.9</v>
      </c>
      <c r="S5" s="299">
        <v>3</v>
      </c>
      <c r="T5" s="299">
        <v>1</v>
      </c>
      <c r="U5" s="5">
        <f t="shared" si="1"/>
        <v>43.633333333333333</v>
      </c>
    </row>
    <row r="6" spans="1:21" ht="15" customHeight="1" x14ac:dyDescent="0.2">
      <c r="A6" s="297">
        <v>4</v>
      </c>
      <c r="B6" s="6" t="s">
        <v>100</v>
      </c>
      <c r="C6" s="298"/>
      <c r="D6" s="298">
        <v>29.99</v>
      </c>
      <c r="E6" s="298">
        <v>40.700000000000003</v>
      </c>
      <c r="F6" s="298">
        <v>30.88</v>
      </c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5">
        <f t="shared" si="0"/>
        <v>33.856666666666662</v>
      </c>
      <c r="S6" s="299">
        <v>1</v>
      </c>
      <c r="T6" s="299">
        <v>1</v>
      </c>
      <c r="U6" s="5">
        <f t="shared" si="1"/>
        <v>33.856666666666662</v>
      </c>
    </row>
    <row r="7" spans="1:21" ht="15" customHeight="1" x14ac:dyDescent="0.2">
      <c r="A7" s="297">
        <v>5</v>
      </c>
      <c r="B7" s="6" t="s">
        <v>101</v>
      </c>
      <c r="C7" s="298">
        <v>90.5</v>
      </c>
      <c r="D7" s="298">
        <v>79.989999999999995</v>
      </c>
      <c r="E7" s="298">
        <v>72.989999999999995</v>
      </c>
      <c r="F7" s="298">
        <v>66.900000000000006</v>
      </c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5">
        <f t="shared" si="0"/>
        <v>77.594999999999999</v>
      </c>
      <c r="S7" s="299">
        <v>3</v>
      </c>
      <c r="T7" s="299">
        <v>1</v>
      </c>
      <c r="U7" s="5">
        <f t="shared" si="1"/>
        <v>25.864999999999998</v>
      </c>
    </row>
    <row r="8" spans="1:21" ht="15" customHeight="1" x14ac:dyDescent="0.2">
      <c r="A8" s="297">
        <v>6</v>
      </c>
      <c r="B8" s="6" t="s">
        <v>732</v>
      </c>
      <c r="C8" s="298"/>
      <c r="D8" s="298">
        <v>339.99</v>
      </c>
      <c r="E8" s="298">
        <v>266.89999999999998</v>
      </c>
      <c r="F8" s="298">
        <v>499</v>
      </c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5">
        <f t="shared" si="0"/>
        <v>368.62999999999994</v>
      </c>
      <c r="S8" s="299">
        <v>12</v>
      </c>
      <c r="T8" s="299">
        <v>1</v>
      </c>
      <c r="U8" s="5">
        <f t="shared" si="1"/>
        <v>30.719166666666663</v>
      </c>
    </row>
    <row r="9" spans="1:21" ht="15" customHeight="1" x14ac:dyDescent="0.2">
      <c r="A9" s="297">
        <v>7</v>
      </c>
      <c r="B9" s="6" t="s">
        <v>85</v>
      </c>
      <c r="C9" s="298"/>
      <c r="D9" s="298"/>
      <c r="E9" s="298"/>
      <c r="F9" s="298"/>
      <c r="G9" s="298"/>
      <c r="H9" s="298"/>
      <c r="I9" s="298"/>
      <c r="J9" s="298"/>
      <c r="K9" s="298"/>
      <c r="L9" s="298">
        <v>247.38</v>
      </c>
      <c r="M9" s="298"/>
      <c r="N9" s="298"/>
      <c r="O9" s="298"/>
      <c r="P9" s="298"/>
      <c r="Q9" s="298"/>
      <c r="R9" s="5">
        <f t="shared" si="0"/>
        <v>247.38</v>
      </c>
      <c r="S9" s="299">
        <v>12</v>
      </c>
      <c r="T9" s="299">
        <v>1</v>
      </c>
      <c r="U9" s="5">
        <f t="shared" si="1"/>
        <v>20.614999999999998</v>
      </c>
    </row>
    <row r="10" spans="1:21" ht="15" customHeight="1" x14ac:dyDescent="0.2">
      <c r="A10" s="297">
        <v>8</v>
      </c>
      <c r="B10" s="6" t="s">
        <v>110</v>
      </c>
      <c r="C10" s="298"/>
      <c r="D10" s="298"/>
      <c r="E10" s="298"/>
      <c r="F10" s="298">
        <v>44.34</v>
      </c>
      <c r="G10" s="298">
        <v>145</v>
      </c>
      <c r="H10" s="298">
        <v>105</v>
      </c>
      <c r="I10" s="298">
        <v>37</v>
      </c>
      <c r="J10" s="298"/>
      <c r="K10" s="298"/>
      <c r="L10" s="298"/>
      <c r="M10" s="298"/>
      <c r="N10" s="298">
        <v>35</v>
      </c>
      <c r="O10" s="298">
        <v>68.900000000000006</v>
      </c>
      <c r="P10" s="298"/>
      <c r="Q10" s="298"/>
      <c r="R10" s="5">
        <f t="shared" si="0"/>
        <v>72.540000000000006</v>
      </c>
      <c r="S10" s="299">
        <v>12</v>
      </c>
      <c r="T10" s="299">
        <v>1</v>
      </c>
      <c r="U10" s="5">
        <f t="shared" si="1"/>
        <v>6.0450000000000008</v>
      </c>
    </row>
    <row r="11" spans="1:21" ht="15" customHeight="1" x14ac:dyDescent="0.2">
      <c r="A11" s="297">
        <v>9</v>
      </c>
      <c r="B11" s="6" t="s">
        <v>103</v>
      </c>
      <c r="C11" s="298">
        <v>11.5</v>
      </c>
      <c r="D11" s="298"/>
      <c r="E11" s="298">
        <v>12.9</v>
      </c>
      <c r="F11" s="298">
        <v>15.5</v>
      </c>
      <c r="G11" s="298"/>
      <c r="H11" s="298"/>
      <c r="I11" s="298"/>
      <c r="J11" s="298"/>
      <c r="K11" s="298"/>
      <c r="L11" s="298"/>
      <c r="M11" s="298"/>
      <c r="N11" s="298">
        <v>20</v>
      </c>
      <c r="O11" s="298"/>
      <c r="P11" s="298"/>
      <c r="Q11" s="298"/>
      <c r="R11" s="5">
        <f t="shared" si="0"/>
        <v>14.975</v>
      </c>
      <c r="S11" s="299">
        <v>3</v>
      </c>
      <c r="T11" s="299">
        <v>1</v>
      </c>
      <c r="U11" s="5">
        <f t="shared" si="1"/>
        <v>4.9916666666666663</v>
      </c>
    </row>
    <row r="12" spans="1:21" ht="15" customHeight="1" x14ac:dyDescent="0.2">
      <c r="A12" s="297">
        <v>10</v>
      </c>
      <c r="B12" s="6" t="s">
        <v>104</v>
      </c>
      <c r="C12" s="300">
        <v>73.900000000000006</v>
      </c>
      <c r="D12" s="298">
        <v>38.99</v>
      </c>
      <c r="E12" s="298">
        <v>56.5</v>
      </c>
      <c r="F12" s="298">
        <v>33.9</v>
      </c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5">
        <f t="shared" si="0"/>
        <v>50.822500000000005</v>
      </c>
      <c r="S12" s="299">
        <v>12</v>
      </c>
      <c r="T12" s="299">
        <v>1</v>
      </c>
      <c r="U12" s="5">
        <f t="shared" si="1"/>
        <v>4.2352083333333335</v>
      </c>
    </row>
    <row r="13" spans="1:21" ht="15" customHeight="1" x14ac:dyDescent="0.2">
      <c r="A13" s="297">
        <v>11</v>
      </c>
      <c r="B13" s="6" t="s">
        <v>105</v>
      </c>
      <c r="C13" s="298">
        <v>128.5</v>
      </c>
      <c r="D13" s="298">
        <v>99.99</v>
      </c>
      <c r="E13" s="298">
        <v>87.7</v>
      </c>
      <c r="F13" s="298">
        <v>111.9</v>
      </c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5">
        <f t="shared" si="0"/>
        <v>107.02250000000001</v>
      </c>
      <c r="S13" s="299">
        <v>3</v>
      </c>
      <c r="T13" s="299">
        <v>1</v>
      </c>
      <c r="U13" s="5">
        <f t="shared" si="1"/>
        <v>35.674166666666672</v>
      </c>
    </row>
    <row r="14" spans="1:21" ht="15" customHeight="1" x14ac:dyDescent="0.2">
      <c r="A14" s="297">
        <v>12</v>
      </c>
      <c r="B14" s="6" t="s">
        <v>106</v>
      </c>
      <c r="C14" s="298">
        <v>59.5</v>
      </c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5">
        <f t="shared" si="0"/>
        <v>59.5</v>
      </c>
      <c r="S14" s="299">
        <v>3</v>
      </c>
      <c r="T14" s="299">
        <v>1</v>
      </c>
      <c r="U14" s="5">
        <f t="shared" si="1"/>
        <v>19.833333333333332</v>
      </c>
    </row>
    <row r="15" spans="1:21" ht="15" customHeight="1" x14ac:dyDescent="0.2">
      <c r="A15" s="297">
        <v>13</v>
      </c>
      <c r="B15" s="6" t="s">
        <v>107</v>
      </c>
      <c r="C15" s="298">
        <v>69.900000000000006</v>
      </c>
      <c r="D15" s="298">
        <v>39.99</v>
      </c>
      <c r="E15" s="298">
        <v>37.299999999999997</v>
      </c>
      <c r="F15" s="298">
        <v>33.4</v>
      </c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5">
        <f t="shared" si="0"/>
        <v>45.147500000000001</v>
      </c>
      <c r="S15" s="299">
        <v>12</v>
      </c>
      <c r="T15" s="299">
        <v>1</v>
      </c>
      <c r="U15" s="5">
        <f t="shared" si="1"/>
        <v>3.7622916666666666</v>
      </c>
    </row>
    <row r="16" spans="1:21" ht="15" customHeight="1" x14ac:dyDescent="0.2">
      <c r="A16" s="297">
        <v>14</v>
      </c>
      <c r="B16" s="6" t="s">
        <v>733</v>
      </c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>
        <v>3572</v>
      </c>
      <c r="R16" s="5">
        <f t="shared" si="0"/>
        <v>3572</v>
      </c>
      <c r="S16" s="299">
        <v>36</v>
      </c>
      <c r="T16" s="299">
        <v>1</v>
      </c>
      <c r="U16" s="5">
        <f>(T16*R16)/S16</f>
        <v>99.222222222222229</v>
      </c>
    </row>
    <row r="17" spans="1:22" ht="15" customHeight="1" x14ac:dyDescent="0.2">
      <c r="A17" s="297">
        <v>15</v>
      </c>
      <c r="B17" s="6" t="s">
        <v>108</v>
      </c>
      <c r="C17" s="298">
        <v>0.45</v>
      </c>
      <c r="D17" s="298"/>
      <c r="E17" s="298"/>
      <c r="F17" s="298"/>
      <c r="G17" s="298"/>
      <c r="H17" s="298"/>
      <c r="I17" s="298"/>
      <c r="J17" s="298"/>
      <c r="K17" s="298">
        <f>57.3/100</f>
        <v>0.57299999999999995</v>
      </c>
      <c r="L17" s="298"/>
      <c r="M17" s="298">
        <f>59.9/100</f>
        <v>0.59899999999999998</v>
      </c>
      <c r="N17" s="298"/>
      <c r="O17" s="298"/>
      <c r="P17" s="298"/>
      <c r="Q17" s="298"/>
      <c r="R17" s="5">
        <f t="shared" si="0"/>
        <v>0.54066666666666663</v>
      </c>
      <c r="S17" s="299" t="s">
        <v>73</v>
      </c>
      <c r="T17" s="299"/>
      <c r="U17" s="5">
        <f>R17</f>
        <v>0.54066666666666663</v>
      </c>
      <c r="V17" s="96">
        <f>3.8+(1.9/5)</f>
        <v>4.18</v>
      </c>
    </row>
    <row r="18" spans="1:22" ht="15" customHeight="1" x14ac:dyDescent="0.2">
      <c r="A18" s="297">
        <v>16</v>
      </c>
      <c r="B18" s="6" t="s">
        <v>124</v>
      </c>
      <c r="C18" s="298"/>
      <c r="D18" s="298">
        <f>24.99/10</f>
        <v>2.4989999999999997</v>
      </c>
      <c r="E18" s="298">
        <f>15.99/5</f>
        <v>3.198</v>
      </c>
      <c r="F18" s="298"/>
      <c r="G18" s="298"/>
      <c r="H18" s="298"/>
      <c r="I18" s="298"/>
      <c r="J18" s="298">
        <f>13.9/5</f>
        <v>2.7800000000000002</v>
      </c>
      <c r="K18" s="298"/>
      <c r="L18" s="298"/>
      <c r="M18" s="298">
        <f>29.9/10</f>
        <v>2.9899999999999998</v>
      </c>
      <c r="N18" s="298"/>
      <c r="O18" s="298"/>
      <c r="P18" s="298"/>
      <c r="Q18" s="298"/>
      <c r="R18" s="5">
        <f t="shared" si="0"/>
        <v>2.8667500000000001</v>
      </c>
      <c r="S18" s="299">
        <v>1</v>
      </c>
      <c r="T18" s="299">
        <v>1</v>
      </c>
      <c r="U18" s="5">
        <f t="shared" si="1"/>
        <v>2.8667500000000001</v>
      </c>
    </row>
    <row r="19" spans="1:22" ht="15" customHeight="1" x14ac:dyDescent="0.2">
      <c r="A19" s="297">
        <v>17</v>
      </c>
      <c r="B19" s="6" t="s">
        <v>109</v>
      </c>
      <c r="C19" s="298"/>
      <c r="D19" s="298">
        <v>35.99</v>
      </c>
      <c r="E19" s="298">
        <v>29.9</v>
      </c>
      <c r="F19" s="298">
        <v>31.9</v>
      </c>
      <c r="G19" s="298">
        <v>38</v>
      </c>
      <c r="H19" s="298">
        <v>35</v>
      </c>
      <c r="I19" s="298">
        <v>29</v>
      </c>
      <c r="J19" s="298"/>
      <c r="K19" s="298"/>
      <c r="L19" s="298"/>
      <c r="M19" s="298"/>
      <c r="N19" s="298">
        <v>35</v>
      </c>
      <c r="O19" s="298"/>
      <c r="P19" s="298"/>
      <c r="Q19" s="298"/>
      <c r="R19" s="5">
        <f t="shared" si="0"/>
        <v>33.541428571428568</v>
      </c>
      <c r="S19" s="299">
        <v>4</v>
      </c>
      <c r="T19" s="299">
        <v>2</v>
      </c>
      <c r="U19" s="5">
        <f t="shared" si="1"/>
        <v>16.770714285714284</v>
      </c>
    </row>
    <row r="20" spans="1:22" ht="24" x14ac:dyDescent="0.2">
      <c r="A20" s="297">
        <v>18</v>
      </c>
      <c r="B20" s="6" t="s">
        <v>199</v>
      </c>
      <c r="C20" s="298"/>
      <c r="D20" s="298"/>
      <c r="E20" s="298"/>
      <c r="F20" s="298">
        <v>268.8</v>
      </c>
      <c r="G20" s="298"/>
      <c r="H20" s="298">
        <v>190</v>
      </c>
      <c r="I20" s="298"/>
      <c r="J20" s="298"/>
      <c r="K20" s="298"/>
      <c r="L20" s="298"/>
      <c r="M20" s="298"/>
      <c r="N20" s="298"/>
      <c r="O20" s="298"/>
      <c r="P20" s="298"/>
      <c r="Q20" s="298"/>
      <c r="R20" s="5">
        <f t="shared" si="0"/>
        <v>229.4</v>
      </c>
      <c r="S20" s="299">
        <v>4</v>
      </c>
      <c r="T20" s="299">
        <v>2</v>
      </c>
      <c r="U20" s="5">
        <f t="shared" si="1"/>
        <v>114.7</v>
      </c>
    </row>
    <row r="21" spans="1:22" ht="24" x14ac:dyDescent="0.2">
      <c r="A21" s="297">
        <v>19</v>
      </c>
      <c r="B21" s="6" t="s">
        <v>198</v>
      </c>
      <c r="C21" s="298"/>
      <c r="D21" s="298"/>
      <c r="E21" s="298"/>
      <c r="F21" s="298"/>
      <c r="G21" s="298"/>
      <c r="H21" s="298">
        <v>190</v>
      </c>
      <c r="I21" s="298"/>
      <c r="J21" s="298"/>
      <c r="K21" s="298"/>
      <c r="L21" s="298"/>
      <c r="M21" s="298"/>
      <c r="N21" s="298"/>
      <c r="O21" s="298"/>
      <c r="P21" s="298"/>
      <c r="Q21" s="298"/>
      <c r="R21" s="5">
        <f t="shared" si="0"/>
        <v>190</v>
      </c>
      <c r="S21" s="299">
        <v>2</v>
      </c>
      <c r="T21" s="299">
        <v>1</v>
      </c>
      <c r="U21" s="5">
        <f t="shared" si="1"/>
        <v>95</v>
      </c>
    </row>
    <row r="22" spans="1:22" ht="15" customHeight="1" x14ac:dyDescent="0.2">
      <c r="A22" s="297">
        <v>20</v>
      </c>
      <c r="B22" s="6" t="s">
        <v>209</v>
      </c>
      <c r="C22" s="298"/>
      <c r="D22" s="298"/>
      <c r="E22" s="298"/>
      <c r="F22" s="298">
        <v>9.9</v>
      </c>
      <c r="G22" s="298">
        <v>22</v>
      </c>
      <c r="H22" s="298">
        <v>20</v>
      </c>
      <c r="I22" s="298">
        <v>12</v>
      </c>
      <c r="J22" s="298"/>
      <c r="K22" s="298"/>
      <c r="L22" s="298"/>
      <c r="M22" s="298"/>
      <c r="N22" s="298">
        <v>35</v>
      </c>
      <c r="O22" s="298"/>
      <c r="P22" s="298"/>
      <c r="Q22" s="298"/>
      <c r="R22" s="5">
        <f t="shared" si="0"/>
        <v>19.78</v>
      </c>
      <c r="S22" s="299">
        <v>2</v>
      </c>
      <c r="T22" s="299">
        <v>1</v>
      </c>
      <c r="U22" s="5">
        <f t="shared" si="1"/>
        <v>9.89</v>
      </c>
    </row>
    <row r="23" spans="1:22" ht="15" customHeight="1" x14ac:dyDescent="0.2">
      <c r="A23" s="297">
        <v>21</v>
      </c>
      <c r="B23" s="6" t="s">
        <v>210</v>
      </c>
      <c r="C23" s="298">
        <v>2.5</v>
      </c>
      <c r="D23" s="298">
        <v>4.59</v>
      </c>
      <c r="E23" s="298">
        <v>5.9</v>
      </c>
      <c r="F23" s="298">
        <v>3.9</v>
      </c>
      <c r="G23" s="298">
        <v>4.5</v>
      </c>
      <c r="H23" s="298">
        <v>5</v>
      </c>
      <c r="I23" s="298">
        <v>4</v>
      </c>
      <c r="J23" s="298"/>
      <c r="K23" s="298"/>
      <c r="L23" s="298"/>
      <c r="M23" s="298"/>
      <c r="N23" s="298">
        <v>5</v>
      </c>
      <c r="O23" s="298"/>
      <c r="P23" s="298"/>
      <c r="Q23" s="298"/>
      <c r="R23" s="5">
        <f t="shared" si="0"/>
        <v>4.4237500000000001</v>
      </c>
      <c r="S23" s="299">
        <v>3</v>
      </c>
      <c r="T23" s="299">
        <v>1</v>
      </c>
      <c r="U23" s="5">
        <f t="shared" si="1"/>
        <v>1.4745833333333334</v>
      </c>
    </row>
    <row r="24" spans="1:22" ht="36" x14ac:dyDescent="0.2">
      <c r="A24" s="297">
        <v>22</v>
      </c>
      <c r="B24" s="6" t="s">
        <v>200</v>
      </c>
      <c r="C24" s="298">
        <v>51</v>
      </c>
      <c r="D24" s="298">
        <v>69.989999999999995</v>
      </c>
      <c r="E24" s="298"/>
      <c r="F24" s="298">
        <v>55.9</v>
      </c>
      <c r="G24" s="298">
        <v>65</v>
      </c>
      <c r="H24" s="298">
        <v>75</v>
      </c>
      <c r="I24" s="298">
        <v>81.75</v>
      </c>
      <c r="J24" s="298"/>
      <c r="K24" s="298"/>
      <c r="L24" s="298"/>
      <c r="M24" s="298"/>
      <c r="N24" s="298">
        <v>81</v>
      </c>
      <c r="O24" s="298"/>
      <c r="P24" s="298"/>
      <c r="Q24" s="298"/>
      <c r="R24" s="5">
        <f t="shared" si="0"/>
        <v>68.52</v>
      </c>
      <c r="S24" s="299">
        <v>3</v>
      </c>
      <c r="T24" s="299">
        <v>1</v>
      </c>
      <c r="U24" s="5">
        <f t="shared" si="1"/>
        <v>22.84</v>
      </c>
    </row>
    <row r="25" spans="1:22" ht="24" x14ac:dyDescent="0.2">
      <c r="A25" s="297">
        <v>23</v>
      </c>
      <c r="B25" s="6" t="s">
        <v>201</v>
      </c>
      <c r="C25" s="298"/>
      <c r="D25" s="298"/>
      <c r="E25" s="298"/>
      <c r="F25" s="298">
        <v>49.57</v>
      </c>
      <c r="G25" s="298">
        <v>100</v>
      </c>
      <c r="H25" s="298">
        <v>185</v>
      </c>
      <c r="I25" s="298">
        <v>136</v>
      </c>
      <c r="J25" s="298"/>
      <c r="K25" s="298"/>
      <c r="L25" s="298"/>
      <c r="M25" s="298"/>
      <c r="N25" s="298">
        <v>162</v>
      </c>
      <c r="O25" s="298"/>
      <c r="P25" s="298"/>
      <c r="Q25" s="298"/>
      <c r="R25" s="5">
        <f t="shared" si="0"/>
        <v>126.51399999999998</v>
      </c>
      <c r="S25" s="299">
        <v>12</v>
      </c>
      <c r="T25" s="299">
        <v>1</v>
      </c>
      <c r="U25" s="5">
        <f t="shared" si="1"/>
        <v>10.542833333333332</v>
      </c>
    </row>
    <row r="26" spans="1:22" ht="15" customHeight="1" x14ac:dyDescent="0.2">
      <c r="A26" s="297">
        <v>24</v>
      </c>
      <c r="B26" s="6" t="s">
        <v>734</v>
      </c>
      <c r="C26" s="298">
        <v>9.9</v>
      </c>
      <c r="D26" s="298">
        <v>9.99</v>
      </c>
      <c r="E26" s="298"/>
      <c r="F26" s="298">
        <v>5.9</v>
      </c>
      <c r="G26" s="298">
        <v>8</v>
      </c>
      <c r="H26" s="298">
        <v>10</v>
      </c>
      <c r="I26" s="298">
        <v>4.5</v>
      </c>
      <c r="J26" s="298"/>
      <c r="K26" s="298"/>
      <c r="L26" s="298"/>
      <c r="M26" s="298"/>
      <c r="N26" s="298">
        <v>3.8</v>
      </c>
      <c r="O26" s="298"/>
      <c r="P26" s="298">
        <v>7</v>
      </c>
      <c r="Q26" s="298"/>
      <c r="R26" s="5">
        <f t="shared" si="0"/>
        <v>7.3862499999999995</v>
      </c>
      <c r="S26" s="299">
        <v>12</v>
      </c>
      <c r="T26" s="299">
        <v>1</v>
      </c>
      <c r="U26" s="5">
        <v>0.35</v>
      </c>
    </row>
    <row r="27" spans="1:22" ht="15" customHeight="1" x14ac:dyDescent="0.2">
      <c r="A27" s="297">
        <v>25</v>
      </c>
      <c r="B27" s="6" t="s">
        <v>474</v>
      </c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5">
        <v>0.64</v>
      </c>
      <c r="S27" s="3"/>
      <c r="T27" s="3"/>
      <c r="U27" s="5"/>
    </row>
    <row r="28" spans="1:22" ht="24" x14ac:dyDescent="0.2">
      <c r="A28" s="297">
        <v>26</v>
      </c>
      <c r="B28" s="6" t="s">
        <v>735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>
        <v>2423.4499999999998</v>
      </c>
      <c r="R28" s="5">
        <f>AVERAGEIF(C28:Q28,"&gt;0")</f>
        <v>2423.4499999999998</v>
      </c>
      <c r="S28" s="299">
        <v>36</v>
      </c>
      <c r="T28" s="299">
        <v>1</v>
      </c>
      <c r="U28" s="5">
        <f t="shared" ref="U28:U52" si="2">(T28*R28)/S28</f>
        <v>67.318055555555546</v>
      </c>
    </row>
    <row r="29" spans="1:22" ht="24" x14ac:dyDescent="0.2">
      <c r="A29" s="297">
        <v>27</v>
      </c>
      <c r="B29" s="6" t="s">
        <v>736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>
        <v>4159.1000000000004</v>
      </c>
      <c r="R29" s="5">
        <f>AVERAGEIF(C29:Q29,"&gt;0")</f>
        <v>4159.1000000000004</v>
      </c>
      <c r="S29" s="299">
        <v>36</v>
      </c>
      <c r="T29" s="299">
        <v>1</v>
      </c>
      <c r="U29" s="5">
        <f t="shared" si="2"/>
        <v>115.53055555555557</v>
      </c>
    </row>
    <row r="30" spans="1:22" ht="24" x14ac:dyDescent="0.2">
      <c r="A30" s="297">
        <v>28</v>
      </c>
      <c r="B30" s="6" t="s">
        <v>737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>
        <v>4048.9</v>
      </c>
      <c r="R30" s="5">
        <f>AVERAGEIF(C30:Q30,"&gt;0")</f>
        <v>4048.9</v>
      </c>
      <c r="S30" s="299">
        <v>36</v>
      </c>
      <c r="T30" s="299">
        <v>1</v>
      </c>
      <c r="U30" s="5">
        <f t="shared" si="2"/>
        <v>112.46944444444445</v>
      </c>
    </row>
    <row r="31" spans="1:22" ht="24" x14ac:dyDescent="0.2">
      <c r="A31" s="297">
        <v>29</v>
      </c>
      <c r="B31" s="6" t="s">
        <v>738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v>23.84</v>
      </c>
      <c r="Q31" s="5"/>
      <c r="R31" s="5">
        <f>AVERAGEIF(C31:P31,"&gt;0")</f>
        <v>23.84</v>
      </c>
      <c r="S31" s="299">
        <v>12</v>
      </c>
      <c r="T31" s="299">
        <v>1</v>
      </c>
      <c r="U31" s="5">
        <f t="shared" si="2"/>
        <v>1.9866666666666666</v>
      </c>
    </row>
    <row r="32" spans="1:22" ht="15" customHeight="1" x14ac:dyDescent="0.2">
      <c r="A32" s="297">
        <v>30</v>
      </c>
      <c r="B32" s="6" t="s">
        <v>739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>
        <v>64.900000000000006</v>
      </c>
      <c r="Q32" s="5"/>
      <c r="R32" s="5">
        <f>AVERAGEIF(C32:P32,"&gt;0")</f>
        <v>64.900000000000006</v>
      </c>
      <c r="S32" s="299">
        <v>24</v>
      </c>
      <c r="T32" s="299">
        <v>1</v>
      </c>
      <c r="U32" s="5">
        <f t="shared" si="2"/>
        <v>2.7041666666666671</v>
      </c>
    </row>
    <row r="33" spans="1:21" ht="15" customHeight="1" x14ac:dyDescent="0.2">
      <c r="A33" s="297">
        <v>31</v>
      </c>
      <c r="B33" s="6" t="s">
        <v>740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>
        <v>260.5</v>
      </c>
      <c r="Q33" s="5"/>
      <c r="R33" s="5">
        <f t="shared" ref="R33:R52" si="3">AVERAGEIF(C33:P33,"&gt;0")</f>
        <v>260.5</v>
      </c>
      <c r="S33" s="299">
        <v>12</v>
      </c>
      <c r="T33" s="299">
        <v>1</v>
      </c>
      <c r="U33" s="5">
        <f t="shared" si="2"/>
        <v>21.708333333333332</v>
      </c>
    </row>
    <row r="34" spans="1:21" ht="36" x14ac:dyDescent="0.2">
      <c r="A34" s="297">
        <v>32</v>
      </c>
      <c r="B34" s="6" t="s">
        <v>741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>
        <v>2250</v>
      </c>
      <c r="Q34" s="5"/>
      <c r="R34" s="5">
        <f t="shared" si="3"/>
        <v>2250</v>
      </c>
      <c r="S34" s="299">
        <v>24</v>
      </c>
      <c r="T34" s="299">
        <v>1</v>
      </c>
      <c r="U34" s="5">
        <f t="shared" si="2"/>
        <v>93.75</v>
      </c>
    </row>
    <row r="35" spans="1:21" ht="36" x14ac:dyDescent="0.2">
      <c r="A35" s="297">
        <v>33</v>
      </c>
      <c r="B35" s="6" t="s">
        <v>742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>
        <v>51</v>
      </c>
      <c r="Q35" s="5"/>
      <c r="R35" s="5">
        <f t="shared" si="3"/>
        <v>51</v>
      </c>
      <c r="S35" s="299">
        <v>12</v>
      </c>
      <c r="T35" s="299">
        <v>1</v>
      </c>
      <c r="U35" s="5">
        <f t="shared" si="2"/>
        <v>4.25</v>
      </c>
    </row>
    <row r="36" spans="1:21" ht="15" customHeight="1" x14ac:dyDescent="0.2">
      <c r="A36" s="297">
        <v>34</v>
      </c>
      <c r="B36" s="6" t="s">
        <v>743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>
        <v>35</v>
      </c>
      <c r="Q36" s="5"/>
      <c r="R36" s="5">
        <f t="shared" si="3"/>
        <v>35</v>
      </c>
      <c r="S36" s="299">
        <v>3</v>
      </c>
      <c r="T36" s="299">
        <v>1</v>
      </c>
      <c r="U36" s="5">
        <f t="shared" si="2"/>
        <v>11.666666666666666</v>
      </c>
    </row>
    <row r="37" spans="1:21" ht="36" x14ac:dyDescent="0.2">
      <c r="A37" s="297">
        <v>35</v>
      </c>
      <c r="B37" s="6" t="s">
        <v>742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>
        <v>51</v>
      </c>
      <c r="Q37" s="5"/>
      <c r="R37" s="5">
        <f t="shared" si="3"/>
        <v>51</v>
      </c>
      <c r="S37" s="299">
        <v>3</v>
      </c>
      <c r="T37" s="299">
        <v>1</v>
      </c>
      <c r="U37" s="5">
        <f t="shared" si="2"/>
        <v>17</v>
      </c>
    </row>
    <row r="38" spans="1:21" ht="15" customHeight="1" x14ac:dyDescent="0.2">
      <c r="A38" s="297">
        <v>36</v>
      </c>
      <c r="B38" s="6" t="s">
        <v>744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35</v>
      </c>
      <c r="Q38" s="5"/>
      <c r="R38" s="5">
        <f t="shared" si="3"/>
        <v>35</v>
      </c>
      <c r="S38" s="299">
        <v>12</v>
      </c>
      <c r="T38" s="299">
        <v>1</v>
      </c>
      <c r="U38" s="5">
        <f t="shared" si="2"/>
        <v>2.9166666666666665</v>
      </c>
    </row>
    <row r="39" spans="1:21" ht="15" customHeight="1" x14ac:dyDescent="0.2">
      <c r="A39" s="297">
        <v>37</v>
      </c>
      <c r="B39" s="6" t="s">
        <v>745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>
        <v>22.06</v>
      </c>
      <c r="Q39" s="5"/>
      <c r="R39" s="5">
        <f t="shared" si="3"/>
        <v>22.06</v>
      </c>
      <c r="S39" s="299">
        <v>12</v>
      </c>
      <c r="T39" s="299">
        <v>1</v>
      </c>
      <c r="U39" s="5">
        <f t="shared" si="2"/>
        <v>1.8383333333333332</v>
      </c>
    </row>
    <row r="40" spans="1:21" ht="15" customHeight="1" x14ac:dyDescent="0.2">
      <c r="A40" s="297">
        <v>38</v>
      </c>
      <c r="B40" s="6" t="s">
        <v>746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>
        <v>35</v>
      </c>
      <c r="Q40" s="5"/>
      <c r="R40" s="5">
        <f t="shared" si="3"/>
        <v>35</v>
      </c>
      <c r="S40" s="299">
        <v>3</v>
      </c>
      <c r="T40" s="299">
        <v>1</v>
      </c>
      <c r="U40" s="5">
        <f t="shared" si="2"/>
        <v>11.666666666666666</v>
      </c>
    </row>
    <row r="41" spans="1:21" ht="24" x14ac:dyDescent="0.2">
      <c r="A41" s="297">
        <v>39</v>
      </c>
      <c r="B41" s="6" t="s">
        <v>747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>
        <v>389.6</v>
      </c>
      <c r="Q41" s="5"/>
      <c r="R41" s="5">
        <f t="shared" si="3"/>
        <v>389.6</v>
      </c>
      <c r="S41" s="299">
        <v>12</v>
      </c>
      <c r="T41" s="299">
        <v>1</v>
      </c>
      <c r="U41" s="5">
        <f t="shared" si="2"/>
        <v>32.466666666666669</v>
      </c>
    </row>
    <row r="42" spans="1:21" ht="15" customHeight="1" x14ac:dyDescent="0.2">
      <c r="A42" s="297">
        <v>40</v>
      </c>
      <c r="B42" s="6" t="s">
        <v>748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>
        <v>35</v>
      </c>
      <c r="Q42" s="5"/>
      <c r="R42" s="5">
        <f t="shared" si="3"/>
        <v>35</v>
      </c>
      <c r="S42" s="299">
        <v>12</v>
      </c>
      <c r="T42" s="299">
        <v>1</v>
      </c>
      <c r="U42" s="5">
        <f t="shared" si="2"/>
        <v>2.9166666666666665</v>
      </c>
    </row>
    <row r="43" spans="1:21" ht="48" x14ac:dyDescent="0.2">
      <c r="A43" s="297">
        <v>41</v>
      </c>
      <c r="B43" s="6" t="s">
        <v>749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>
        <v>96.56</v>
      </c>
      <c r="Q43" s="5"/>
      <c r="R43" s="5">
        <f t="shared" si="3"/>
        <v>96.56</v>
      </c>
      <c r="S43" s="299">
        <v>12</v>
      </c>
      <c r="T43" s="299">
        <v>1</v>
      </c>
      <c r="U43" s="5">
        <f t="shared" si="2"/>
        <v>8.0466666666666669</v>
      </c>
    </row>
    <row r="44" spans="1:21" ht="15" customHeight="1" x14ac:dyDescent="0.2">
      <c r="A44" s="297">
        <v>42</v>
      </c>
      <c r="B44" s="6" t="s">
        <v>750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>
        <v>16</v>
      </c>
      <c r="Q44" s="5"/>
      <c r="R44" s="5">
        <f t="shared" si="3"/>
        <v>16</v>
      </c>
      <c r="S44" s="299">
        <v>12</v>
      </c>
      <c r="T44" s="299">
        <v>1</v>
      </c>
      <c r="U44" s="5">
        <f t="shared" si="2"/>
        <v>1.3333333333333333</v>
      </c>
    </row>
    <row r="45" spans="1:21" ht="15" customHeight="1" x14ac:dyDescent="0.2">
      <c r="A45" s="297">
        <v>43</v>
      </c>
      <c r="B45" s="6" t="s">
        <v>751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>
        <v>171</v>
      </c>
      <c r="Q45" s="5"/>
      <c r="R45" s="5">
        <f t="shared" si="3"/>
        <v>171</v>
      </c>
      <c r="S45" s="299">
        <v>12</v>
      </c>
      <c r="T45" s="299">
        <v>1</v>
      </c>
      <c r="U45" s="5">
        <f t="shared" si="2"/>
        <v>14.25</v>
      </c>
    </row>
    <row r="46" spans="1:21" ht="36" x14ac:dyDescent="0.2">
      <c r="A46" s="297">
        <v>44</v>
      </c>
      <c r="B46" s="6" t="s">
        <v>752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v>392</v>
      </c>
      <c r="P46" s="5"/>
      <c r="Q46" s="5"/>
      <c r="R46" s="5">
        <f t="shared" si="3"/>
        <v>392</v>
      </c>
      <c r="S46" s="299">
        <v>12</v>
      </c>
      <c r="T46" s="299">
        <v>1</v>
      </c>
      <c r="U46" s="5">
        <f t="shared" si="2"/>
        <v>32.666666666666664</v>
      </c>
    </row>
    <row r="47" spans="1:21" ht="24" x14ac:dyDescent="0.2">
      <c r="A47" s="297">
        <v>45</v>
      </c>
      <c r="B47" s="6" t="s">
        <v>753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>
        <v>277</v>
      </c>
      <c r="P47" s="5"/>
      <c r="Q47" s="5"/>
      <c r="R47" s="5">
        <f t="shared" si="3"/>
        <v>277</v>
      </c>
      <c r="S47" s="299">
        <v>12</v>
      </c>
      <c r="T47" s="299">
        <v>1</v>
      </c>
      <c r="U47" s="5">
        <f t="shared" si="2"/>
        <v>23.083333333333332</v>
      </c>
    </row>
    <row r="48" spans="1:21" ht="15" customHeight="1" x14ac:dyDescent="0.2">
      <c r="A48" s="297">
        <v>46</v>
      </c>
      <c r="B48" s="6" t="s">
        <v>754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>
        <v>209</v>
      </c>
      <c r="P48" s="5"/>
      <c r="Q48" s="5"/>
      <c r="R48" s="5">
        <f t="shared" si="3"/>
        <v>209</v>
      </c>
      <c r="S48" s="299">
        <v>12</v>
      </c>
      <c r="T48" s="299">
        <v>1</v>
      </c>
      <c r="U48" s="5">
        <f t="shared" si="2"/>
        <v>17.416666666666668</v>
      </c>
    </row>
    <row r="49" spans="1:21" ht="15" customHeight="1" x14ac:dyDescent="0.2">
      <c r="A49" s="297">
        <v>47</v>
      </c>
      <c r="B49" s="6" t="s">
        <v>755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>
        <v>42</v>
      </c>
      <c r="P49" s="5"/>
      <c r="Q49" s="5"/>
      <c r="R49" s="5">
        <f t="shared" si="3"/>
        <v>42</v>
      </c>
      <c r="S49" s="299">
        <v>12</v>
      </c>
      <c r="T49" s="299">
        <v>1</v>
      </c>
      <c r="U49" s="5">
        <f t="shared" si="2"/>
        <v>3.5</v>
      </c>
    </row>
    <row r="50" spans="1:21" ht="15" customHeight="1" x14ac:dyDescent="0.2">
      <c r="A50" s="297">
        <v>48</v>
      </c>
      <c r="B50" s="6" t="s">
        <v>756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>
        <v>21</v>
      </c>
      <c r="P50" s="5"/>
      <c r="Q50" s="5"/>
      <c r="R50" s="5">
        <f t="shared" si="3"/>
        <v>21</v>
      </c>
      <c r="S50" s="299">
        <v>12</v>
      </c>
      <c r="T50" s="299">
        <v>1</v>
      </c>
      <c r="U50" s="5">
        <f t="shared" si="2"/>
        <v>1.75</v>
      </c>
    </row>
    <row r="51" spans="1:21" ht="15" customHeight="1" x14ac:dyDescent="0.2">
      <c r="A51" s="297">
        <v>49</v>
      </c>
      <c r="B51" s="6" t="s">
        <v>757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>
        <v>50</v>
      </c>
      <c r="P51" s="5"/>
      <c r="Q51" s="5"/>
      <c r="R51" s="5">
        <f t="shared" si="3"/>
        <v>50</v>
      </c>
      <c r="S51" s="299">
        <v>12</v>
      </c>
      <c r="T51" s="299">
        <v>1</v>
      </c>
      <c r="U51" s="5">
        <f t="shared" si="2"/>
        <v>4.166666666666667</v>
      </c>
    </row>
    <row r="52" spans="1:21" ht="15" customHeight="1" x14ac:dyDescent="0.2">
      <c r="A52" s="297">
        <v>50</v>
      </c>
      <c r="B52" s="6" t="s">
        <v>758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v>72</v>
      </c>
      <c r="P52" s="5"/>
      <c r="Q52" s="5"/>
      <c r="R52" s="5">
        <f t="shared" si="3"/>
        <v>72</v>
      </c>
      <c r="S52" s="299">
        <v>12</v>
      </c>
      <c r="T52" s="299">
        <v>1</v>
      </c>
      <c r="U52" s="5">
        <f t="shared" si="2"/>
        <v>6</v>
      </c>
    </row>
    <row r="53" spans="1:21" ht="15" customHeight="1" x14ac:dyDescent="0.2">
      <c r="A53" s="297">
        <v>51</v>
      </c>
      <c r="B53" s="6" t="s">
        <v>759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>
        <f>(156.5*1.2)/6</f>
        <v>31.299999999999997</v>
      </c>
      <c r="S53" s="299"/>
      <c r="T53" s="299"/>
      <c r="U53" s="5">
        <f>R53</f>
        <v>31.299999999999997</v>
      </c>
    </row>
    <row r="54" spans="1:21" ht="15" customHeight="1" x14ac:dyDescent="0.2">
      <c r="A54" s="297">
        <v>52</v>
      </c>
      <c r="B54" s="6" t="s">
        <v>760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>
        <v>15.23</v>
      </c>
      <c r="S54" s="299"/>
      <c r="T54" s="299"/>
      <c r="U54" s="5">
        <f>R54</f>
        <v>15.23</v>
      </c>
    </row>
  </sheetData>
  <printOptions horizontalCentered="1"/>
  <pageMargins left="0.78740157480314965" right="0.59055118110236227" top="0.98425196850393704" bottom="0.70866141732283472" header="0.27559055118110237" footer="0.27559055118110237"/>
  <pageSetup paperSize="9" scale="71" orientation="landscape" r:id="rId1"/>
  <headerFooter>
    <oddHeader>&amp;L&amp;G</oddHeader>
    <oddFooter>&amp;C&amp;"Calibri,Regular"&amp;8CNPJ: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56"/>
  <sheetViews>
    <sheetView view="pageBreakPreview" topLeftCell="A32" workbookViewId="0">
      <selection activeCell="B15" sqref="B15"/>
    </sheetView>
  </sheetViews>
  <sheetFormatPr defaultColWidth="9.33203125" defaultRowHeight="18" customHeight="1" x14ac:dyDescent="0.2"/>
  <cols>
    <col min="1" max="1" width="70.83203125" style="1" customWidth="1"/>
    <col min="2" max="2" width="18.33203125" style="1" customWidth="1"/>
    <col min="3" max="16384" width="9.33203125" style="1"/>
  </cols>
  <sheetData>
    <row r="1" spans="1:2" ht="45.2" customHeight="1" x14ac:dyDescent="0.2">
      <c r="A1" s="361" t="s">
        <v>633</v>
      </c>
      <c r="B1" s="361"/>
    </row>
    <row r="2" spans="1:2" ht="15" customHeight="1" x14ac:dyDescent="0.2"/>
    <row r="3" spans="1:2" s="96" customFormat="1" ht="15" customHeight="1" x14ac:dyDescent="0.2">
      <c r="A3" s="2" t="s">
        <v>220</v>
      </c>
      <c r="B3" s="2" t="s">
        <v>221</v>
      </c>
    </row>
    <row r="4" spans="1:2" s="96" customFormat="1" ht="15" customHeight="1" x14ac:dyDescent="0.2">
      <c r="A4" s="3"/>
      <c r="B4" s="3"/>
    </row>
    <row r="5" spans="1:2" s="96" customFormat="1" ht="15" customHeight="1" x14ac:dyDescent="0.2">
      <c r="A5" s="4" t="s">
        <v>222</v>
      </c>
      <c r="B5" s="3"/>
    </row>
    <row r="6" spans="1:2" s="96" customFormat="1" ht="15" customHeight="1" x14ac:dyDescent="0.2">
      <c r="A6" s="3" t="s">
        <v>319</v>
      </c>
      <c r="B6" s="5">
        <v>20</v>
      </c>
    </row>
    <row r="7" spans="1:2" s="96" customFormat="1" ht="15" customHeight="1" x14ac:dyDescent="0.2">
      <c r="A7" s="3" t="s">
        <v>320</v>
      </c>
      <c r="B7" s="5">
        <v>8</v>
      </c>
    </row>
    <row r="8" spans="1:2" s="96" customFormat="1" ht="15" customHeight="1" x14ac:dyDescent="0.2">
      <c r="A8" s="3" t="s">
        <v>383</v>
      </c>
      <c r="B8" s="5">
        <v>0.6</v>
      </c>
    </row>
    <row r="9" spans="1:2" s="96" customFormat="1" ht="15" customHeight="1" x14ac:dyDescent="0.2">
      <c r="A9" s="3" t="s">
        <v>381</v>
      </c>
      <c r="B9" s="5">
        <v>1.5</v>
      </c>
    </row>
    <row r="10" spans="1:2" s="96" customFormat="1" ht="15" customHeight="1" x14ac:dyDescent="0.2">
      <c r="A10" s="3" t="s">
        <v>382</v>
      </c>
      <c r="B10" s="5">
        <v>1</v>
      </c>
    </row>
    <row r="11" spans="1:2" s="96" customFormat="1" ht="15" customHeight="1" x14ac:dyDescent="0.2">
      <c r="A11" s="3" t="s">
        <v>321</v>
      </c>
      <c r="B11" s="5">
        <v>0.2</v>
      </c>
    </row>
    <row r="12" spans="1:2" s="96" customFormat="1" ht="15" customHeight="1" x14ac:dyDescent="0.2">
      <c r="A12" s="3" t="s">
        <v>322</v>
      </c>
      <c r="B12" s="5">
        <v>2.5</v>
      </c>
    </row>
    <row r="13" spans="1:2" s="96" customFormat="1" ht="15" customHeight="1" x14ac:dyDescent="0.2">
      <c r="A13" s="3" t="s">
        <v>323</v>
      </c>
      <c r="B13" s="5">
        <f>3</f>
        <v>3</v>
      </c>
    </row>
    <row r="14" spans="1:2" s="96" customFormat="1" ht="15" customHeight="1" x14ac:dyDescent="0.2">
      <c r="A14" s="7" t="s">
        <v>213</v>
      </c>
      <c r="B14" s="8">
        <f>SUM(B6:B13)</f>
        <v>36.799999999999997</v>
      </c>
    </row>
    <row r="15" spans="1:2" s="96" customFormat="1" ht="15" customHeight="1" x14ac:dyDescent="0.2">
      <c r="A15" s="3"/>
      <c r="B15" s="3"/>
    </row>
    <row r="16" spans="1:2" s="96" customFormat="1" ht="15" customHeight="1" x14ac:dyDescent="0.2">
      <c r="A16" s="7" t="s">
        <v>390</v>
      </c>
      <c r="B16" s="3"/>
    </row>
    <row r="17" spans="1:5" s="96" customFormat="1" ht="15" customHeight="1" x14ac:dyDescent="0.2">
      <c r="A17" s="3" t="s">
        <v>384</v>
      </c>
      <c r="B17" s="5">
        <v>8.0500000000000007</v>
      </c>
      <c r="E17" s="97"/>
    </row>
    <row r="18" spans="1:5" s="96" customFormat="1" ht="15" customHeight="1" x14ac:dyDescent="0.2">
      <c r="A18" s="3" t="s">
        <v>324</v>
      </c>
      <c r="B18" s="5">
        <v>2.68</v>
      </c>
    </row>
    <row r="19" spans="1:5" s="96" customFormat="1" ht="15" customHeight="1" x14ac:dyDescent="0.2">
      <c r="A19" s="3" t="s">
        <v>385</v>
      </c>
      <c r="B19" s="5">
        <v>0.1</v>
      </c>
    </row>
    <row r="20" spans="1:5" s="96" customFormat="1" ht="15" customHeight="1" x14ac:dyDescent="0.2">
      <c r="A20" s="3" t="s">
        <v>386</v>
      </c>
      <c r="B20" s="5">
        <v>0.01</v>
      </c>
    </row>
    <row r="21" spans="1:5" s="96" customFormat="1" ht="15" customHeight="1" x14ac:dyDescent="0.2">
      <c r="A21" s="3" t="s">
        <v>387</v>
      </c>
      <c r="B21" s="5">
        <v>0.02</v>
      </c>
    </row>
    <row r="22" spans="1:5" s="96" customFormat="1" ht="15" customHeight="1" x14ac:dyDescent="0.2">
      <c r="A22" s="3" t="s">
        <v>388</v>
      </c>
      <c r="B22" s="5">
        <v>0.57999999999999996</v>
      </c>
    </row>
    <row r="23" spans="1:5" s="96" customFormat="1" ht="15" customHeight="1" x14ac:dyDescent="0.2">
      <c r="A23" s="3" t="s">
        <v>389</v>
      </c>
      <c r="B23" s="5">
        <v>0.39</v>
      </c>
    </row>
    <row r="24" spans="1:5" s="96" customFormat="1" ht="15" customHeight="1" x14ac:dyDescent="0.2">
      <c r="A24" s="7" t="s">
        <v>213</v>
      </c>
      <c r="B24" s="8">
        <f>SUM(B17:B23)</f>
        <v>11.83</v>
      </c>
    </row>
    <row r="25" spans="1:5" s="96" customFormat="1" ht="15" customHeight="1" x14ac:dyDescent="0.2">
      <c r="A25" s="3"/>
      <c r="B25" s="3"/>
    </row>
    <row r="26" spans="1:5" s="96" customFormat="1" ht="15" customHeight="1" x14ac:dyDescent="0.2">
      <c r="A26" s="7" t="s">
        <v>391</v>
      </c>
      <c r="B26" s="3"/>
    </row>
    <row r="27" spans="1:5" s="96" customFormat="1" ht="15" customHeight="1" x14ac:dyDescent="0.2">
      <c r="A27" s="3" t="s">
        <v>392</v>
      </c>
      <c r="B27" s="5">
        <v>2.68</v>
      </c>
    </row>
    <row r="28" spans="1:5" s="96" customFormat="1" ht="15" customHeight="1" x14ac:dyDescent="0.2">
      <c r="A28" s="3" t="s">
        <v>325</v>
      </c>
      <c r="B28" s="5">
        <v>9.31</v>
      </c>
    </row>
    <row r="29" spans="1:5" s="96" customFormat="1" ht="15" customHeight="1" x14ac:dyDescent="0.2">
      <c r="A29" s="3" t="s">
        <v>393</v>
      </c>
      <c r="B29" s="5">
        <v>0.14000000000000001</v>
      </c>
    </row>
    <row r="30" spans="1:5" s="96" customFormat="1" ht="15" customHeight="1" x14ac:dyDescent="0.2">
      <c r="A30" s="7" t="s">
        <v>213</v>
      </c>
      <c r="B30" s="8">
        <f>SUM(B27:B29)</f>
        <v>12.13</v>
      </c>
    </row>
    <row r="31" spans="1:5" s="96" customFormat="1" ht="15" customHeight="1" x14ac:dyDescent="0.2">
      <c r="A31" s="3"/>
      <c r="B31" s="3"/>
    </row>
    <row r="32" spans="1:5" s="96" customFormat="1" ht="15" customHeight="1" x14ac:dyDescent="0.2">
      <c r="A32" s="7" t="s">
        <v>394</v>
      </c>
      <c r="B32" s="3"/>
    </row>
    <row r="33" spans="1:2" s="96" customFormat="1" ht="15" customHeight="1" x14ac:dyDescent="0.2">
      <c r="A33" s="3" t="s">
        <v>395</v>
      </c>
      <c r="B33" s="5">
        <v>2.42</v>
      </c>
    </row>
    <row r="34" spans="1:2" s="96" customFormat="1" ht="15" customHeight="1" x14ac:dyDescent="0.2">
      <c r="A34" s="3" t="s">
        <v>556</v>
      </c>
      <c r="B34" s="5">
        <v>0.89</v>
      </c>
    </row>
    <row r="35" spans="1:2" s="96" customFormat="1" ht="15" customHeight="1" x14ac:dyDescent="0.2">
      <c r="A35" s="3" t="s">
        <v>557</v>
      </c>
      <c r="B35" s="5">
        <v>0.64</v>
      </c>
    </row>
    <row r="36" spans="1:2" s="96" customFormat="1" ht="15" customHeight="1" x14ac:dyDescent="0.2">
      <c r="A36" s="6" t="s">
        <v>558</v>
      </c>
      <c r="B36" s="5">
        <v>4.0199999999999996</v>
      </c>
    </row>
    <row r="37" spans="1:2" s="96" customFormat="1" ht="15" customHeight="1" x14ac:dyDescent="0.2">
      <c r="A37" s="6" t="s">
        <v>396</v>
      </c>
      <c r="B37" s="5">
        <v>1.01</v>
      </c>
    </row>
    <row r="38" spans="1:2" s="96" customFormat="1" ht="15" customHeight="1" x14ac:dyDescent="0.2">
      <c r="A38" s="3" t="s">
        <v>326</v>
      </c>
      <c r="B38" s="5">
        <v>0.28000000000000003</v>
      </c>
    </row>
    <row r="39" spans="1:2" s="96" customFormat="1" ht="15" customHeight="1" x14ac:dyDescent="0.2">
      <c r="A39" s="3" t="s">
        <v>559</v>
      </c>
      <c r="B39" s="5">
        <v>0.99</v>
      </c>
    </row>
    <row r="40" spans="1:2" s="96" customFormat="1" ht="15" customHeight="1" x14ac:dyDescent="0.2">
      <c r="A40" s="3" t="s">
        <v>560</v>
      </c>
      <c r="B40" s="5">
        <v>0.33</v>
      </c>
    </row>
    <row r="41" spans="1:2" s="96" customFormat="1" ht="15" customHeight="1" x14ac:dyDescent="0.2">
      <c r="A41" s="7" t="s">
        <v>213</v>
      </c>
      <c r="B41" s="8">
        <f>SUM(B33:B40)</f>
        <v>10.58</v>
      </c>
    </row>
    <row r="42" spans="1:2" s="96" customFormat="1" ht="15" customHeight="1" x14ac:dyDescent="0.2">
      <c r="A42" s="3"/>
      <c r="B42" s="3"/>
    </row>
    <row r="43" spans="1:2" s="96" customFormat="1" ht="15" customHeight="1" x14ac:dyDescent="0.2">
      <c r="A43" s="7" t="s">
        <v>331</v>
      </c>
      <c r="B43" s="3"/>
    </row>
    <row r="44" spans="1:2" s="96" customFormat="1" ht="15" customHeight="1" x14ac:dyDescent="0.2">
      <c r="A44" s="6" t="s">
        <v>397</v>
      </c>
      <c r="B44" s="5">
        <v>0.28000000000000003</v>
      </c>
    </row>
    <row r="45" spans="1:2" s="96" customFormat="1" ht="15" customHeight="1" x14ac:dyDescent="0.2">
      <c r="A45" s="6" t="s">
        <v>398</v>
      </c>
      <c r="B45" s="5">
        <v>0.09</v>
      </c>
    </row>
    <row r="46" spans="1:2" s="96" customFormat="1" ht="15" customHeight="1" x14ac:dyDescent="0.2">
      <c r="A46" s="7" t="s">
        <v>213</v>
      </c>
      <c r="B46" s="8">
        <f>SUM(B44:B45)</f>
        <v>0.37</v>
      </c>
    </row>
    <row r="47" spans="1:2" s="96" customFormat="1" ht="15" customHeight="1" x14ac:dyDescent="0.2">
      <c r="A47" s="3"/>
      <c r="B47" s="3"/>
    </row>
    <row r="48" spans="1:2" s="96" customFormat="1" ht="15" customHeight="1" x14ac:dyDescent="0.2">
      <c r="A48" s="7" t="s">
        <v>399</v>
      </c>
      <c r="B48" s="3"/>
    </row>
    <row r="49" spans="1:5" s="96" customFormat="1" ht="15" customHeight="1" x14ac:dyDescent="0.2">
      <c r="A49" s="3" t="s">
        <v>561</v>
      </c>
      <c r="B49" s="5">
        <v>0.26</v>
      </c>
    </row>
    <row r="50" spans="1:5" s="96" customFormat="1" ht="15" customHeight="1" x14ac:dyDescent="0.2">
      <c r="A50" s="3" t="s">
        <v>400</v>
      </c>
      <c r="B50" s="5">
        <v>0.02</v>
      </c>
    </row>
    <row r="51" spans="1:5" s="96" customFormat="1" ht="15" customHeight="1" x14ac:dyDescent="0.2">
      <c r="A51" s="3" t="s">
        <v>401</v>
      </c>
      <c r="B51" s="5">
        <v>0.19</v>
      </c>
    </row>
    <row r="52" spans="1:5" s="96" customFormat="1" ht="15" customHeight="1" x14ac:dyDescent="0.2">
      <c r="A52" s="3" t="s">
        <v>562</v>
      </c>
      <c r="B52" s="5">
        <v>8.82</v>
      </c>
    </row>
    <row r="53" spans="1:5" s="96" customFormat="1" ht="15" hidden="1" customHeight="1" x14ac:dyDescent="0.2">
      <c r="A53" s="3" t="s">
        <v>402</v>
      </c>
      <c r="B53" s="5"/>
    </row>
    <row r="54" spans="1:5" s="96" customFormat="1" ht="15" customHeight="1" x14ac:dyDescent="0.2">
      <c r="A54" s="7" t="s">
        <v>213</v>
      </c>
      <c r="B54" s="8">
        <f>SUM(B49:B53)</f>
        <v>9.2900000000000009</v>
      </c>
      <c r="E54" s="97"/>
    </row>
    <row r="55" spans="1:5" s="96" customFormat="1" ht="15" customHeight="1" x14ac:dyDescent="0.2">
      <c r="A55" s="3"/>
      <c r="B55" s="3"/>
    </row>
    <row r="56" spans="1:5" s="98" customFormat="1" ht="15" customHeight="1" x14ac:dyDescent="0.2">
      <c r="A56" s="7" t="s">
        <v>218</v>
      </c>
      <c r="B56" s="8">
        <v>81</v>
      </c>
    </row>
  </sheetData>
  <mergeCells count="1">
    <mergeCell ref="A1:B1"/>
  </mergeCells>
  <phoneticPr fontId="0" type="noConversion"/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26"/>
  <sheetViews>
    <sheetView view="pageBreakPreview" zoomScaleSheetLayoutView="100" workbookViewId="0">
      <selection activeCell="C12" sqref="C12"/>
    </sheetView>
  </sheetViews>
  <sheetFormatPr defaultColWidth="9.33203125" defaultRowHeight="18" customHeight="1" x14ac:dyDescent="0.2"/>
  <cols>
    <col min="1" max="1" width="70.83203125" style="153" customWidth="1"/>
    <col min="2" max="2" width="10.83203125" style="159" customWidth="1"/>
    <col min="3" max="3" width="14.83203125" style="158" customWidth="1"/>
    <col min="4" max="6" width="9.33203125" style="153"/>
    <col min="7" max="7" width="32.33203125" style="153" customWidth="1"/>
    <col min="8" max="9" width="9.33203125" style="153"/>
    <col min="10" max="10" width="12.83203125" style="161" customWidth="1"/>
    <col min="11" max="11" width="12.83203125" style="153" customWidth="1"/>
    <col min="12" max="16384" width="9.33203125" style="153"/>
  </cols>
  <sheetData>
    <row r="1" spans="1:11" ht="18" customHeight="1" x14ac:dyDescent="0.2">
      <c r="A1" s="149" t="s">
        <v>357</v>
      </c>
      <c r="B1" s="150"/>
      <c r="C1" s="151"/>
    </row>
    <row r="2" spans="1:11" ht="18" customHeight="1" x14ac:dyDescent="0.2">
      <c r="A2" s="152"/>
      <c r="B2" s="150"/>
      <c r="C2" s="151"/>
    </row>
    <row r="3" spans="1:11" ht="32.1" customHeight="1" x14ac:dyDescent="0.2">
      <c r="A3" s="367" t="s">
        <v>358</v>
      </c>
      <c r="B3" s="367" t="s">
        <v>359</v>
      </c>
      <c r="C3" s="368" t="s">
        <v>360</v>
      </c>
    </row>
    <row r="4" spans="1:11" s="154" customFormat="1" ht="32.1" customHeight="1" x14ac:dyDescent="0.2">
      <c r="A4" s="367"/>
      <c r="B4" s="367"/>
      <c r="C4" s="368"/>
      <c r="J4" s="189"/>
    </row>
    <row r="5" spans="1:11" ht="21.95" customHeight="1" x14ac:dyDescent="0.2">
      <c r="A5" s="155" t="s">
        <v>361</v>
      </c>
      <c r="B5" s="156" t="s">
        <v>362</v>
      </c>
      <c r="C5" s="168">
        <v>1.2E-2</v>
      </c>
      <c r="J5" s="161">
        <f>C5/100</f>
        <v>1.2E-4</v>
      </c>
      <c r="K5" s="161">
        <f>1+J5</f>
        <v>1.0001199999999999</v>
      </c>
    </row>
    <row r="6" spans="1:11" ht="21.95" customHeight="1" x14ac:dyDescent="0.2">
      <c r="A6" s="155" t="s">
        <v>363</v>
      </c>
      <c r="B6" s="156" t="s">
        <v>364</v>
      </c>
      <c r="C6" s="168">
        <v>0</v>
      </c>
      <c r="J6" s="161">
        <f t="shared" ref="J6:J9" si="0">C6/100</f>
        <v>0</v>
      </c>
      <c r="K6" s="161">
        <f t="shared" ref="K6:K9" si="1">1+J6</f>
        <v>1</v>
      </c>
    </row>
    <row r="7" spans="1:11" ht="21.95" customHeight="1" x14ac:dyDescent="0.2">
      <c r="A7" s="155" t="s">
        <v>365</v>
      </c>
      <c r="B7" s="156" t="s">
        <v>366</v>
      </c>
      <c r="C7" s="168">
        <v>2E-3</v>
      </c>
      <c r="J7" s="161">
        <f t="shared" si="0"/>
        <v>2.0000000000000002E-5</v>
      </c>
      <c r="K7" s="161">
        <f t="shared" si="1"/>
        <v>1.0000199999999999</v>
      </c>
    </row>
    <row r="8" spans="1:11" ht="21.95" customHeight="1" x14ac:dyDescent="0.2">
      <c r="A8" s="155" t="s">
        <v>367</v>
      </c>
      <c r="B8" s="156" t="s">
        <v>368</v>
      </c>
      <c r="C8" s="168">
        <v>1E-3</v>
      </c>
      <c r="J8" s="161">
        <f t="shared" si="0"/>
        <v>1.0000000000000001E-5</v>
      </c>
      <c r="K8" s="161">
        <f t="shared" si="1"/>
        <v>1.0000100000000001</v>
      </c>
    </row>
    <row r="9" spans="1:11" ht="21.95" customHeight="1" x14ac:dyDescent="0.2">
      <c r="A9" s="155" t="s">
        <v>369</v>
      </c>
      <c r="B9" s="156" t="s">
        <v>370</v>
      </c>
      <c r="C9" s="168">
        <v>5.3629999999999997E-3</v>
      </c>
      <c r="F9" s="153" t="s">
        <v>548</v>
      </c>
      <c r="G9" s="158">
        <v>5</v>
      </c>
      <c r="J9" s="161">
        <f t="shared" si="0"/>
        <v>5.363E-5</v>
      </c>
      <c r="K9" s="161">
        <f t="shared" si="1"/>
        <v>1.00005363</v>
      </c>
    </row>
    <row r="10" spans="1:11" ht="21.95" customHeight="1" x14ac:dyDescent="0.2">
      <c r="A10" s="155" t="s">
        <v>371</v>
      </c>
      <c r="B10" s="156" t="s">
        <v>372</v>
      </c>
      <c r="C10" s="168">
        <v>0.09</v>
      </c>
      <c r="F10" s="153" t="s">
        <v>549</v>
      </c>
      <c r="G10" s="158">
        <v>7.6</v>
      </c>
      <c r="K10" s="190">
        <f>K5*K6*K7*K8*K9</f>
        <v>1.0002036418447278</v>
      </c>
    </row>
    <row r="11" spans="1:11" ht="21.95" customHeight="1" x14ac:dyDescent="0.2">
      <c r="A11" s="155" t="s">
        <v>373</v>
      </c>
      <c r="B11" s="156" t="s">
        <v>374</v>
      </c>
      <c r="C11" s="168">
        <v>0.14249999999999999</v>
      </c>
      <c r="F11" s="153" t="s">
        <v>550</v>
      </c>
      <c r="G11" s="158">
        <v>1.65</v>
      </c>
      <c r="K11" s="190">
        <f>(K5+K6+K7+K8)*K9</f>
        <v>4.0003645280444999</v>
      </c>
    </row>
    <row r="12" spans="1:11" ht="45.2" customHeight="1" x14ac:dyDescent="0.2">
      <c r="A12" s="157"/>
      <c r="B12" s="188" t="s">
        <v>375</v>
      </c>
      <c r="C12" s="279">
        <f>ROUND((((((1+((C5+C6+C7+C8)))*(1+C9)*(1+C10))/(1-C11))-1)),4)</f>
        <v>0.29709999999999998</v>
      </c>
      <c r="G12" s="158">
        <f>SUM(G9:G11)</f>
        <v>14.25</v>
      </c>
    </row>
    <row r="13" spans="1:11" ht="20.100000000000001" customHeight="1" x14ac:dyDescent="0.2">
      <c r="A13" s="366"/>
      <c r="B13" s="366"/>
      <c r="C13" s="366"/>
      <c r="G13" s="158"/>
    </row>
    <row r="14" spans="1:11" s="229" customFormat="1" ht="20.100000000000001" customHeight="1" x14ac:dyDescent="0.2">
      <c r="A14" s="369" t="s">
        <v>644</v>
      </c>
      <c r="B14" s="369"/>
      <c r="C14" s="369"/>
      <c r="G14" s="224"/>
      <c r="J14" s="235"/>
    </row>
    <row r="15" spans="1:11" ht="20.100000000000001" customHeight="1" x14ac:dyDescent="0.2">
      <c r="A15" s="362" t="s">
        <v>645</v>
      </c>
      <c r="B15" s="363"/>
      <c r="C15" s="237">
        <v>0.05</v>
      </c>
      <c r="G15" s="158"/>
    </row>
    <row r="16" spans="1:11" ht="20.100000000000001" customHeight="1" x14ac:dyDescent="0.2">
      <c r="A16" s="364" t="s">
        <v>646</v>
      </c>
      <c r="B16" s="365"/>
      <c r="C16" s="237">
        <v>7.5999999999999998E-2</v>
      </c>
      <c r="G16" s="158"/>
    </row>
    <row r="17" spans="1:7" ht="20.100000000000001" customHeight="1" x14ac:dyDescent="0.2">
      <c r="A17" s="236" t="s">
        <v>647</v>
      </c>
      <c r="B17" s="237"/>
      <c r="C17" s="237">
        <v>1.6500000000000001E-2</v>
      </c>
      <c r="G17" s="158"/>
    </row>
    <row r="18" spans="1:7" ht="20.100000000000001" customHeight="1" x14ac:dyDescent="0.2">
      <c r="A18" s="234"/>
      <c r="B18" s="234"/>
      <c r="C18" s="234"/>
    </row>
    <row r="19" spans="1:7" ht="18" customHeight="1" x14ac:dyDescent="0.2">
      <c r="C19"/>
    </row>
    <row r="20" spans="1:7" ht="18" customHeight="1" x14ac:dyDescent="0.2">
      <c r="A20" s="153" t="s">
        <v>8</v>
      </c>
      <c r="C20" s="160"/>
    </row>
    <row r="21" spans="1:7" ht="18" customHeight="1" x14ac:dyDescent="0.2">
      <c r="C21" s="160">
        <f>(((1+((C5/100+C6/100+C7/100+C8/100)))*(1+C9/100)*(1+C10/100)))</f>
        <v>1.00110382131874</v>
      </c>
    </row>
    <row r="22" spans="1:7" ht="18" customHeight="1" x14ac:dyDescent="0.2">
      <c r="C22" s="160">
        <f>(1-C11/100)</f>
        <v>0.99857499999999999</v>
      </c>
    </row>
    <row r="24" spans="1:7" ht="18" customHeight="1" x14ac:dyDescent="0.2">
      <c r="C24" s="161">
        <f>1+C12/100</f>
        <v>1.0029710000000001</v>
      </c>
    </row>
    <row r="25" spans="1:7" ht="18" customHeight="1" x14ac:dyDescent="0.2">
      <c r="C25" s="161"/>
    </row>
    <row r="26" spans="1:7" ht="18" customHeight="1" x14ac:dyDescent="0.2">
      <c r="C26"/>
    </row>
  </sheetData>
  <mergeCells count="7">
    <mergeCell ref="A15:B15"/>
    <mergeCell ref="A16:B16"/>
    <mergeCell ref="A13:C13"/>
    <mergeCell ref="A3:A4"/>
    <mergeCell ref="B3:B4"/>
    <mergeCell ref="C3:C4"/>
    <mergeCell ref="A14:C14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FE754-202F-48CD-BFE7-AB7B68CB4D84}">
  <dimension ref="A2:L43"/>
  <sheetViews>
    <sheetView view="pageBreakPreview" zoomScaleNormal="100" zoomScaleSheetLayoutView="100" workbookViewId="0">
      <selection activeCell="I36" sqref="I36"/>
    </sheetView>
  </sheetViews>
  <sheetFormatPr defaultColWidth="8.83203125" defaultRowHeight="11.25" x14ac:dyDescent="0.2"/>
  <cols>
    <col min="1" max="10" width="10.83203125" style="303" customWidth="1"/>
    <col min="11" max="13" width="12.83203125" style="303" customWidth="1"/>
    <col min="14" max="16384" width="8.83203125" style="303"/>
  </cols>
  <sheetData>
    <row r="2" spans="1:12" ht="24" customHeight="1" x14ac:dyDescent="0.2">
      <c r="A2" s="333" t="s">
        <v>762</v>
      </c>
      <c r="B2" s="301"/>
      <c r="C2" s="334" t="s">
        <v>763</v>
      </c>
      <c r="D2" s="334"/>
      <c r="E2" s="334"/>
      <c r="F2" s="334"/>
      <c r="G2" s="334"/>
      <c r="H2" s="334"/>
      <c r="I2" s="334"/>
      <c r="J2" s="334"/>
    </row>
    <row r="3" spans="1:12" s="305" customFormat="1" ht="24" customHeight="1" x14ac:dyDescent="0.2">
      <c r="A3" s="333"/>
      <c r="B3" s="301" t="s">
        <v>798</v>
      </c>
      <c r="C3" s="304" t="s">
        <v>710</v>
      </c>
      <c r="D3" s="301" t="s">
        <v>764</v>
      </c>
      <c r="E3" s="301" t="s">
        <v>765</v>
      </c>
      <c r="F3" s="301" t="s">
        <v>711</v>
      </c>
      <c r="G3" s="301" t="s">
        <v>766</v>
      </c>
      <c r="H3" s="301" t="s">
        <v>767</v>
      </c>
      <c r="I3" s="301" t="s">
        <v>768</v>
      </c>
      <c r="J3" s="301" t="s">
        <v>769</v>
      </c>
    </row>
    <row r="4" spans="1:12" ht="24" customHeight="1" x14ac:dyDescent="0.2">
      <c r="A4" s="304" t="s">
        <v>770</v>
      </c>
      <c r="B4" s="306">
        <v>6</v>
      </c>
      <c r="C4" s="306">
        <v>13</v>
      </c>
      <c r="D4" s="306">
        <v>13</v>
      </c>
      <c r="E4" s="306">
        <v>16.5</v>
      </c>
      <c r="F4" s="306">
        <v>19</v>
      </c>
      <c r="G4" s="306">
        <v>27.5</v>
      </c>
      <c r="H4" s="306">
        <v>27.5</v>
      </c>
      <c r="I4" s="306"/>
      <c r="J4" s="306"/>
    </row>
    <row r="5" spans="1:12" ht="24" customHeight="1" x14ac:dyDescent="0.2">
      <c r="A5" s="301" t="s">
        <v>771</v>
      </c>
      <c r="B5" s="307" t="s">
        <v>799</v>
      </c>
      <c r="C5" s="307" t="s">
        <v>772</v>
      </c>
      <c r="D5" s="307" t="s">
        <v>772</v>
      </c>
      <c r="E5" s="307" t="s">
        <v>772</v>
      </c>
      <c r="F5" s="307" t="s">
        <v>772</v>
      </c>
      <c r="G5" s="307" t="s">
        <v>772</v>
      </c>
      <c r="H5" s="307" t="s">
        <v>772</v>
      </c>
      <c r="I5" s="306"/>
      <c r="J5" s="306"/>
    </row>
    <row r="6" spans="1:12" ht="24" customHeight="1" x14ac:dyDescent="0.2">
      <c r="A6" s="301" t="s">
        <v>773</v>
      </c>
      <c r="B6" s="308"/>
      <c r="C6" s="308">
        <v>845.21</v>
      </c>
      <c r="D6" s="308">
        <v>845.21</v>
      </c>
      <c r="E6" s="308">
        <v>845.21</v>
      </c>
      <c r="F6" s="308">
        <v>845.21</v>
      </c>
      <c r="G6" s="308">
        <v>845.21</v>
      </c>
      <c r="H6" s="308">
        <v>845.21</v>
      </c>
      <c r="I6" s="306"/>
      <c r="J6" s="306"/>
    </row>
    <row r="7" spans="1:12" ht="24" customHeight="1" x14ac:dyDescent="0.2">
      <c r="A7" s="301" t="s">
        <v>774</v>
      </c>
      <c r="B7" s="308">
        <v>38.9</v>
      </c>
      <c r="C7" s="308">
        <f t="shared" ref="C7:H7" si="0">C6/20</f>
        <v>42.2605</v>
      </c>
      <c r="D7" s="308">
        <f t="shared" si="0"/>
        <v>42.2605</v>
      </c>
      <c r="E7" s="308">
        <f t="shared" si="0"/>
        <v>42.2605</v>
      </c>
      <c r="F7" s="308">
        <f t="shared" si="0"/>
        <v>42.2605</v>
      </c>
      <c r="G7" s="308">
        <f t="shared" si="0"/>
        <v>42.2605</v>
      </c>
      <c r="H7" s="308">
        <f t="shared" si="0"/>
        <v>42.2605</v>
      </c>
      <c r="I7" s="306"/>
      <c r="J7" s="306"/>
    </row>
    <row r="8" spans="1:12" ht="24" customHeight="1" x14ac:dyDescent="0.2">
      <c r="A8" s="301" t="s">
        <v>775</v>
      </c>
      <c r="B8" s="308">
        <v>15000</v>
      </c>
      <c r="C8" s="308">
        <v>20000</v>
      </c>
      <c r="D8" s="308">
        <v>20000</v>
      </c>
      <c r="E8" s="308">
        <v>20000</v>
      </c>
      <c r="F8" s="308">
        <v>20000</v>
      </c>
      <c r="G8" s="308">
        <v>20000</v>
      </c>
      <c r="H8" s="308">
        <v>20000</v>
      </c>
      <c r="I8" s="306"/>
      <c r="J8" s="306"/>
    </row>
    <row r="9" spans="1:12" ht="24" customHeight="1" x14ac:dyDescent="0.2">
      <c r="A9" s="301" t="s">
        <v>776</v>
      </c>
      <c r="B9" s="308">
        <f>(B4*B7)/B8</f>
        <v>1.5559999999999999E-2</v>
      </c>
      <c r="C9" s="308">
        <f>(C4*C7)/C8</f>
        <v>2.7469324999999999E-2</v>
      </c>
      <c r="D9" s="308">
        <f>(D4*D7)/D8</f>
        <v>2.7469324999999999E-2</v>
      </c>
      <c r="E9" s="308">
        <f>(E4*E7)/E8</f>
        <v>3.4864912500000005E-2</v>
      </c>
      <c r="F9" s="308">
        <f t="shared" ref="F9:G9" si="1">(F4*F7)/F8</f>
        <v>4.0147475000000002E-2</v>
      </c>
      <c r="G9" s="308">
        <f t="shared" si="1"/>
        <v>5.8108187499999998E-2</v>
      </c>
      <c r="H9" s="308">
        <f>(H4*H7)/H8</f>
        <v>5.8108187499999998E-2</v>
      </c>
      <c r="I9" s="306"/>
      <c r="J9" s="306"/>
      <c r="L9" s="303">
        <f>38.9*6</f>
        <v>233.39999999999998</v>
      </c>
    </row>
    <row r="10" spans="1:12" ht="24" customHeight="1" x14ac:dyDescent="0.2">
      <c r="A10" s="301" t="s">
        <v>777</v>
      </c>
      <c r="B10" s="308">
        <v>225.6</v>
      </c>
      <c r="C10" s="308">
        <v>481</v>
      </c>
      <c r="D10" s="308">
        <v>481</v>
      </c>
      <c r="E10" s="308">
        <v>481</v>
      </c>
      <c r="F10" s="308">
        <v>481</v>
      </c>
      <c r="G10" s="308">
        <v>481</v>
      </c>
      <c r="H10" s="308">
        <v>481</v>
      </c>
      <c r="I10" s="306"/>
      <c r="J10" s="306"/>
      <c r="L10" s="303">
        <f>459-L9</f>
        <v>225.60000000000002</v>
      </c>
    </row>
    <row r="11" spans="1:12" ht="24" customHeight="1" x14ac:dyDescent="0.2">
      <c r="A11" s="301" t="s">
        <v>776</v>
      </c>
      <c r="B11" s="308">
        <f>B10/B8</f>
        <v>1.504E-2</v>
      </c>
      <c r="C11" s="308">
        <f>C10/C8</f>
        <v>2.4049999999999998E-2</v>
      </c>
      <c r="D11" s="308">
        <f t="shared" ref="D11:H11" si="2">D10/D8</f>
        <v>2.4049999999999998E-2</v>
      </c>
      <c r="E11" s="308">
        <f t="shared" si="2"/>
        <v>2.4049999999999998E-2</v>
      </c>
      <c r="F11" s="308">
        <f t="shared" si="2"/>
        <v>2.4049999999999998E-2</v>
      </c>
      <c r="G11" s="308">
        <f t="shared" si="2"/>
        <v>2.4049999999999998E-2</v>
      </c>
      <c r="H11" s="308">
        <f t="shared" si="2"/>
        <v>2.4049999999999998E-2</v>
      </c>
      <c r="I11" s="306"/>
      <c r="J11" s="306"/>
    </row>
    <row r="12" spans="1:12" ht="24" customHeight="1" x14ac:dyDescent="0.2">
      <c r="A12" s="301" t="s">
        <v>778</v>
      </c>
      <c r="B12" s="308">
        <v>1</v>
      </c>
      <c r="C12" s="308">
        <v>3.2</v>
      </c>
      <c r="D12" s="306">
        <v>3.2</v>
      </c>
      <c r="E12" s="306">
        <v>9.1999999999999993</v>
      </c>
      <c r="F12" s="306">
        <v>9.1999999999999993</v>
      </c>
      <c r="G12" s="306">
        <v>13</v>
      </c>
      <c r="H12" s="306">
        <v>14.5</v>
      </c>
      <c r="I12" s="306"/>
      <c r="J12" s="306"/>
    </row>
    <row r="13" spans="1:12" ht="24" customHeight="1" x14ac:dyDescent="0.2">
      <c r="A13" s="301" t="s">
        <v>771</v>
      </c>
      <c r="B13" s="307" t="s">
        <v>779</v>
      </c>
      <c r="C13" s="307" t="s">
        <v>779</v>
      </c>
      <c r="D13" s="307" t="s">
        <v>779</v>
      </c>
      <c r="E13" s="307" t="s">
        <v>779</v>
      </c>
      <c r="F13" s="307" t="s">
        <v>779</v>
      </c>
      <c r="G13" s="307" t="s">
        <v>779</v>
      </c>
      <c r="H13" s="307" t="s">
        <v>779</v>
      </c>
      <c r="I13" s="306"/>
      <c r="J13" s="306"/>
    </row>
    <row r="14" spans="1:12" ht="24" customHeight="1" x14ac:dyDescent="0.2">
      <c r="A14" s="301" t="s">
        <v>780</v>
      </c>
      <c r="B14" s="309">
        <v>84.68</v>
      </c>
      <c r="C14" s="309">
        <v>84.68</v>
      </c>
      <c r="D14" s="309">
        <v>84.68</v>
      </c>
      <c r="E14" s="309">
        <v>84.68</v>
      </c>
      <c r="F14" s="309">
        <v>84.68</v>
      </c>
      <c r="G14" s="309">
        <v>84.68</v>
      </c>
      <c r="H14" s="309">
        <v>84.68</v>
      </c>
      <c r="I14" s="306"/>
      <c r="J14" s="306"/>
    </row>
    <row r="15" spans="1:12" ht="24" customHeight="1" x14ac:dyDescent="0.2">
      <c r="A15" s="301" t="s">
        <v>774</v>
      </c>
      <c r="B15" s="308">
        <f t="shared" ref="B15:H15" si="3">B14/1</f>
        <v>84.68</v>
      </c>
      <c r="C15" s="308">
        <f t="shared" si="3"/>
        <v>84.68</v>
      </c>
      <c r="D15" s="308">
        <f t="shared" si="3"/>
        <v>84.68</v>
      </c>
      <c r="E15" s="308">
        <f t="shared" si="3"/>
        <v>84.68</v>
      </c>
      <c r="F15" s="308">
        <f t="shared" si="3"/>
        <v>84.68</v>
      </c>
      <c r="G15" s="308">
        <f t="shared" si="3"/>
        <v>84.68</v>
      </c>
      <c r="H15" s="308">
        <f t="shared" si="3"/>
        <v>84.68</v>
      </c>
      <c r="I15" s="306"/>
      <c r="J15" s="306"/>
    </row>
    <row r="16" spans="1:12" ht="24" customHeight="1" x14ac:dyDescent="0.2">
      <c r="A16" s="301" t="s">
        <v>781</v>
      </c>
      <c r="B16" s="308">
        <f>50000*0.8</f>
        <v>40000</v>
      </c>
      <c r="C16" s="308">
        <f>50000*0.8</f>
        <v>40000</v>
      </c>
      <c r="D16" s="308">
        <f t="shared" ref="D16:H16" si="4">50000*0.8</f>
        <v>40000</v>
      </c>
      <c r="E16" s="308">
        <f t="shared" si="4"/>
        <v>40000</v>
      </c>
      <c r="F16" s="308">
        <f t="shared" si="4"/>
        <v>40000</v>
      </c>
      <c r="G16" s="308">
        <f t="shared" si="4"/>
        <v>40000</v>
      </c>
      <c r="H16" s="308">
        <f t="shared" si="4"/>
        <v>40000</v>
      </c>
      <c r="I16" s="306"/>
      <c r="J16" s="306"/>
    </row>
    <row r="17" spans="1:10" ht="24" customHeight="1" x14ac:dyDescent="0.2">
      <c r="A17" s="301" t="s">
        <v>776</v>
      </c>
      <c r="B17" s="314">
        <f>(B12*B15)/B16</f>
        <v>2.117E-3</v>
      </c>
      <c r="C17" s="308">
        <f>(C12*C15)/C16</f>
        <v>6.7744000000000016E-3</v>
      </c>
      <c r="D17" s="308">
        <f>(D12*D15)/D16</f>
        <v>6.7744000000000016E-3</v>
      </c>
      <c r="E17" s="308">
        <f>(E12*E15)/E16</f>
        <v>1.9476400000000001E-2</v>
      </c>
      <c r="F17" s="308">
        <f t="shared" ref="F17:H17" si="5">(F12*F15)/F16</f>
        <v>1.9476400000000001E-2</v>
      </c>
      <c r="G17" s="308">
        <f t="shared" si="5"/>
        <v>2.7521000000000004E-2</v>
      </c>
      <c r="H17" s="308">
        <f t="shared" si="5"/>
        <v>3.0696500000000002E-2</v>
      </c>
      <c r="I17" s="306"/>
      <c r="J17" s="306"/>
    </row>
    <row r="18" spans="1:10" ht="24" customHeight="1" x14ac:dyDescent="0.2">
      <c r="A18" s="301" t="s">
        <v>782</v>
      </c>
      <c r="B18" s="308"/>
      <c r="C18" s="308">
        <v>3.8</v>
      </c>
      <c r="D18" s="306">
        <v>9</v>
      </c>
      <c r="E18" s="306">
        <v>15</v>
      </c>
      <c r="F18" s="306">
        <v>21</v>
      </c>
      <c r="G18" s="306">
        <v>21</v>
      </c>
      <c r="H18" s="306">
        <v>21</v>
      </c>
      <c r="I18" s="306"/>
      <c r="J18" s="306"/>
    </row>
    <row r="19" spans="1:10" ht="24" customHeight="1" x14ac:dyDescent="0.2">
      <c r="A19" s="301" t="s">
        <v>771</v>
      </c>
      <c r="B19" s="307"/>
      <c r="C19" s="307" t="s">
        <v>783</v>
      </c>
      <c r="D19" s="307" t="s">
        <v>783</v>
      </c>
      <c r="E19" s="307" t="s">
        <v>783</v>
      </c>
      <c r="F19" s="307" t="s">
        <v>783</v>
      </c>
      <c r="G19" s="307" t="s">
        <v>783</v>
      </c>
      <c r="H19" s="307" t="s">
        <v>779</v>
      </c>
      <c r="I19" s="306"/>
      <c r="J19" s="306"/>
    </row>
    <row r="20" spans="1:10" ht="24" customHeight="1" x14ac:dyDescent="0.2">
      <c r="A20" s="301" t="s">
        <v>784</v>
      </c>
      <c r="B20" s="309"/>
      <c r="C20" s="309">
        <v>46.78</v>
      </c>
      <c r="D20" s="309">
        <v>46.78</v>
      </c>
      <c r="E20" s="309">
        <v>46.78</v>
      </c>
      <c r="F20" s="309">
        <v>46.78</v>
      </c>
      <c r="G20" s="309">
        <v>46.78</v>
      </c>
      <c r="H20" s="309">
        <v>84.68</v>
      </c>
      <c r="I20" s="306"/>
      <c r="J20" s="306"/>
    </row>
    <row r="21" spans="1:10" ht="24" customHeight="1" x14ac:dyDescent="0.2">
      <c r="A21" s="301" t="s">
        <v>774</v>
      </c>
      <c r="B21" s="308"/>
      <c r="C21" s="308">
        <f t="shared" ref="C21:H21" si="6">C20/1</f>
        <v>46.78</v>
      </c>
      <c r="D21" s="308">
        <f t="shared" si="6"/>
        <v>46.78</v>
      </c>
      <c r="E21" s="308">
        <f t="shared" si="6"/>
        <v>46.78</v>
      </c>
      <c r="F21" s="308">
        <f t="shared" si="6"/>
        <v>46.78</v>
      </c>
      <c r="G21" s="308">
        <f t="shared" si="6"/>
        <v>46.78</v>
      </c>
      <c r="H21" s="308">
        <f t="shared" si="6"/>
        <v>84.68</v>
      </c>
      <c r="I21" s="306"/>
      <c r="J21" s="306"/>
    </row>
    <row r="22" spans="1:10" ht="24" customHeight="1" x14ac:dyDescent="0.2">
      <c r="A22" s="301" t="s">
        <v>781</v>
      </c>
      <c r="B22" s="308"/>
      <c r="C22" s="308">
        <f>50000*0.8</f>
        <v>40000</v>
      </c>
      <c r="D22" s="308">
        <f t="shared" ref="D22:H22" si="7">50000*0.8</f>
        <v>40000</v>
      </c>
      <c r="E22" s="308">
        <f t="shared" si="7"/>
        <v>40000</v>
      </c>
      <c r="F22" s="308">
        <f t="shared" si="7"/>
        <v>40000</v>
      </c>
      <c r="G22" s="308">
        <f t="shared" si="7"/>
        <v>40000</v>
      </c>
      <c r="H22" s="308">
        <f t="shared" si="7"/>
        <v>40000</v>
      </c>
      <c r="I22" s="306"/>
      <c r="J22" s="306"/>
    </row>
    <row r="23" spans="1:10" ht="24" customHeight="1" x14ac:dyDescent="0.2">
      <c r="A23" s="301" t="s">
        <v>776</v>
      </c>
      <c r="B23" s="308"/>
      <c r="C23" s="308">
        <f>(C18*C21)/C22</f>
        <v>4.4441000000000003E-3</v>
      </c>
      <c r="D23" s="308">
        <f>(D18*D21)/D22</f>
        <v>1.05255E-2</v>
      </c>
      <c r="E23" s="308">
        <f>(E18*E21)/E22</f>
        <v>1.7542500000000003E-2</v>
      </c>
      <c r="F23" s="308">
        <f t="shared" ref="F23:H23" si="8">(F18*F21)/F22</f>
        <v>2.4559500000000001E-2</v>
      </c>
      <c r="G23" s="308">
        <f t="shared" si="8"/>
        <v>2.4559500000000001E-2</v>
      </c>
      <c r="H23" s="308">
        <f t="shared" si="8"/>
        <v>4.4457000000000003E-2</v>
      </c>
      <c r="I23" s="306"/>
      <c r="J23" s="306"/>
    </row>
    <row r="24" spans="1:10" ht="24" customHeight="1" x14ac:dyDescent="0.2">
      <c r="A24" s="301" t="s">
        <v>785</v>
      </c>
      <c r="B24" s="308"/>
      <c r="C24" s="308">
        <v>23</v>
      </c>
      <c r="D24" s="306">
        <v>23</v>
      </c>
      <c r="E24" s="306">
        <v>60</v>
      </c>
      <c r="F24" s="306">
        <v>60</v>
      </c>
      <c r="G24" s="306">
        <v>60</v>
      </c>
      <c r="H24" s="306">
        <v>60</v>
      </c>
      <c r="I24" s="306"/>
      <c r="J24" s="306"/>
    </row>
    <row r="25" spans="1:10" ht="24" customHeight="1" x14ac:dyDescent="0.2">
      <c r="A25" s="301" t="s">
        <v>786</v>
      </c>
      <c r="B25" s="307" t="s">
        <v>787</v>
      </c>
      <c r="C25" s="307" t="s">
        <v>787</v>
      </c>
      <c r="D25" s="307" t="s">
        <v>787</v>
      </c>
      <c r="E25" s="307" t="s">
        <v>787</v>
      </c>
      <c r="F25" s="307" t="s">
        <v>787</v>
      </c>
      <c r="G25" s="307" t="s">
        <v>787</v>
      </c>
      <c r="H25" s="307" t="s">
        <v>787</v>
      </c>
      <c r="I25" s="306"/>
      <c r="J25" s="306"/>
    </row>
    <row r="26" spans="1:10" ht="24" customHeight="1" x14ac:dyDescent="0.2">
      <c r="A26" s="301" t="s">
        <v>788</v>
      </c>
      <c r="B26" s="309">
        <v>127.9</v>
      </c>
      <c r="C26" s="309">
        <v>127.9</v>
      </c>
      <c r="D26" s="309">
        <v>127.9</v>
      </c>
      <c r="E26" s="309">
        <v>127.9</v>
      </c>
      <c r="F26" s="309">
        <v>127.9</v>
      </c>
      <c r="G26" s="309">
        <v>127.9</v>
      </c>
      <c r="H26" s="309">
        <v>127.9</v>
      </c>
      <c r="I26" s="306"/>
      <c r="J26" s="306"/>
    </row>
    <row r="27" spans="1:10" ht="24" customHeight="1" x14ac:dyDescent="0.2">
      <c r="A27" s="301" t="s">
        <v>774</v>
      </c>
      <c r="B27" s="308">
        <f t="shared" ref="B27:H27" si="9">B26/20</f>
        <v>6.3950000000000005</v>
      </c>
      <c r="C27" s="308">
        <f t="shared" si="9"/>
        <v>6.3950000000000005</v>
      </c>
      <c r="D27" s="308">
        <f t="shared" si="9"/>
        <v>6.3950000000000005</v>
      </c>
      <c r="E27" s="308">
        <f t="shared" si="9"/>
        <v>6.3950000000000005</v>
      </c>
      <c r="F27" s="308">
        <f t="shared" si="9"/>
        <v>6.3950000000000005</v>
      </c>
      <c r="G27" s="308">
        <f t="shared" si="9"/>
        <v>6.3950000000000005</v>
      </c>
      <c r="H27" s="308">
        <f t="shared" si="9"/>
        <v>6.3950000000000005</v>
      </c>
      <c r="I27" s="306"/>
      <c r="J27" s="306"/>
    </row>
    <row r="28" spans="1:10" ht="24" customHeight="1" x14ac:dyDescent="0.2">
      <c r="A28" s="301" t="s">
        <v>789</v>
      </c>
      <c r="B28" s="308">
        <f>(1.5/100)*B27</f>
        <v>9.592500000000001E-2</v>
      </c>
      <c r="C28" s="308">
        <f>(1.5/100)*C27</f>
        <v>9.592500000000001E-2</v>
      </c>
      <c r="D28" s="308">
        <f t="shared" ref="D28:H28" si="10">(1.5/100)*D27</f>
        <v>9.592500000000001E-2</v>
      </c>
      <c r="E28" s="308">
        <f t="shared" si="10"/>
        <v>9.592500000000001E-2</v>
      </c>
      <c r="F28" s="308">
        <f t="shared" si="10"/>
        <v>9.592500000000001E-2</v>
      </c>
      <c r="G28" s="308">
        <f t="shared" si="10"/>
        <v>9.592500000000001E-2</v>
      </c>
      <c r="H28" s="308">
        <f t="shared" si="10"/>
        <v>9.592500000000001E-2</v>
      </c>
      <c r="I28" s="306"/>
      <c r="J28" s="306"/>
    </row>
    <row r="29" spans="1:10" ht="33.75" x14ac:dyDescent="0.2">
      <c r="A29" s="301" t="s">
        <v>790</v>
      </c>
      <c r="B29" s="308">
        <v>90</v>
      </c>
      <c r="C29" s="308">
        <v>150</v>
      </c>
      <c r="D29" s="306">
        <v>150</v>
      </c>
      <c r="E29" s="306">
        <v>275</v>
      </c>
      <c r="F29" s="306">
        <v>275</v>
      </c>
      <c r="G29" s="306">
        <v>275</v>
      </c>
      <c r="H29" s="306">
        <v>275</v>
      </c>
      <c r="I29" s="306"/>
      <c r="J29" s="306"/>
    </row>
    <row r="30" spans="1:10" ht="24" customHeight="1" x14ac:dyDescent="0.2">
      <c r="A30" s="301" t="s">
        <v>791</v>
      </c>
      <c r="B30" s="308"/>
      <c r="C30" s="308"/>
      <c r="D30" s="308"/>
      <c r="E30" s="306"/>
      <c r="F30" s="306"/>
      <c r="G30" s="306"/>
      <c r="H30" s="306"/>
      <c r="I30" s="308">
        <v>100</v>
      </c>
      <c r="J30" s="308">
        <v>160</v>
      </c>
    </row>
    <row r="31" spans="1:10" ht="24" customHeight="1" x14ac:dyDescent="0.2">
      <c r="A31" s="301" t="s">
        <v>792</v>
      </c>
      <c r="B31" s="308"/>
      <c r="C31" s="308"/>
      <c r="D31" s="308"/>
      <c r="E31" s="306"/>
      <c r="F31" s="306"/>
      <c r="G31" s="306"/>
      <c r="H31" s="306"/>
      <c r="I31" s="308">
        <v>140</v>
      </c>
      <c r="J31" s="308">
        <v>200</v>
      </c>
    </row>
    <row r="32" spans="1:10" ht="24" customHeight="1" x14ac:dyDescent="0.2">
      <c r="A32" s="301" t="s">
        <v>786</v>
      </c>
      <c r="B32" s="310"/>
      <c r="C32" s="310"/>
      <c r="D32" s="310"/>
      <c r="E32" s="306"/>
      <c r="F32" s="306"/>
      <c r="G32" s="306"/>
      <c r="H32" s="306"/>
      <c r="I32" s="310" t="s">
        <v>793</v>
      </c>
      <c r="J32" s="310" t="s">
        <v>793</v>
      </c>
    </row>
    <row r="33" spans="1:10" ht="24" customHeight="1" x14ac:dyDescent="0.2">
      <c r="A33" s="301" t="s">
        <v>788</v>
      </c>
      <c r="B33" s="308"/>
      <c r="C33" s="308"/>
      <c r="D33" s="308"/>
      <c r="E33" s="306"/>
      <c r="F33" s="306"/>
      <c r="G33" s="306"/>
      <c r="H33" s="306"/>
      <c r="I33" s="308">
        <v>607.96</v>
      </c>
      <c r="J33" s="308">
        <v>607.96</v>
      </c>
    </row>
    <row r="34" spans="1:10" ht="24" customHeight="1" x14ac:dyDescent="0.2">
      <c r="A34" s="301" t="s">
        <v>774</v>
      </c>
      <c r="B34" s="308"/>
      <c r="C34" s="308"/>
      <c r="D34" s="308"/>
      <c r="E34" s="306"/>
      <c r="F34" s="306"/>
      <c r="G34" s="306"/>
      <c r="H34" s="306"/>
      <c r="I34" s="308">
        <f>I33/20</f>
        <v>30.398000000000003</v>
      </c>
      <c r="J34" s="308">
        <f>J33/20</f>
        <v>30.398000000000003</v>
      </c>
    </row>
    <row r="35" spans="1:10" ht="24" customHeight="1" x14ac:dyDescent="0.2">
      <c r="A35" s="302" t="s">
        <v>794</v>
      </c>
      <c r="B35" s="308"/>
      <c r="C35" s="308"/>
      <c r="D35" s="306"/>
      <c r="E35" s="306"/>
      <c r="F35" s="306"/>
      <c r="G35" s="306"/>
      <c r="H35" s="306"/>
      <c r="I35" s="306">
        <v>2700</v>
      </c>
      <c r="J35" s="306">
        <v>2700</v>
      </c>
    </row>
    <row r="36" spans="1:10" ht="24" customHeight="1" x14ac:dyDescent="0.2">
      <c r="A36" s="301" t="s">
        <v>795</v>
      </c>
      <c r="B36" s="308"/>
      <c r="C36" s="308"/>
      <c r="D36" s="306"/>
      <c r="E36" s="306"/>
      <c r="F36" s="306"/>
      <c r="G36" s="306"/>
      <c r="H36" s="306"/>
      <c r="I36" s="306">
        <f>(I31*I34)/I35</f>
        <v>1.5761925925925926</v>
      </c>
      <c r="J36" s="306">
        <f>(J31*J34)/J35</f>
        <v>2.2517037037037038</v>
      </c>
    </row>
    <row r="37" spans="1:10" x14ac:dyDescent="0.2">
      <c r="C37" s="311"/>
    </row>
    <row r="38" spans="1:10" x14ac:dyDescent="0.2">
      <c r="C38" s="311"/>
    </row>
    <row r="39" spans="1:10" x14ac:dyDescent="0.2">
      <c r="C39" s="311"/>
    </row>
    <row r="40" spans="1:10" x14ac:dyDescent="0.2">
      <c r="C40" s="311"/>
    </row>
    <row r="41" spans="1:10" s="313" customFormat="1" x14ac:dyDescent="0.2">
      <c r="A41" s="312" t="s">
        <v>796</v>
      </c>
      <c r="B41" s="312"/>
    </row>
    <row r="42" spans="1:10" s="313" customFormat="1" x14ac:dyDescent="0.2"/>
    <row r="43" spans="1:10" s="313" customFormat="1" x14ac:dyDescent="0.2">
      <c r="A43" s="313" t="s">
        <v>797</v>
      </c>
    </row>
  </sheetData>
  <mergeCells count="2">
    <mergeCell ref="A2:A3"/>
    <mergeCell ref="C2:J2"/>
  </mergeCells>
  <hyperlinks>
    <hyperlink ref="A41" r:id="rId1" display="https://pessoas.feb.unesp.br/barbara/files/2013/08/aula_frete.pdf" xr:uid="{C2ECBC95-7632-463D-A60A-DAF87B247F0B}"/>
  </hyperlinks>
  <pageMargins left="0.78740157480314965" right="0.59055118110236227" top="1.1811023622047245" bottom="0.78740157480314965" header="0.27559055118110237" footer="0.27559055118110237"/>
  <pageSetup paperSize="9" scale="90" orientation="portrait" r:id="rId2"/>
  <headerFooter>
    <oddHeader>&amp;L&amp;G</oddHeader>
    <oddFooter>&amp;C&amp;"Calibri,Regular"&amp;8CNPJ: 41.244.542/0001-97
Cabo Corporate Center – Torre Aníbal Cardoso 
Rua Cento e Sessenta e Três, 226 – sala 405  -  Cabo de Santo Agostinho– PE  - CEP:  54518-430  
Tel.: (81) 3076-0018  / e-mail: nrjambiental05@gmail.com</oddFoot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view="pageBreakPreview" topLeftCell="A6" workbookViewId="0">
      <selection activeCell="E6" sqref="E1:O1048576"/>
    </sheetView>
  </sheetViews>
  <sheetFormatPr defaultColWidth="12" defaultRowHeight="12.75" x14ac:dyDescent="0.2"/>
  <cols>
    <col min="1" max="1" width="58.33203125" style="11" customWidth="1"/>
    <col min="2" max="2" width="21.1640625" style="11" customWidth="1"/>
    <col min="3" max="4" width="12" style="11"/>
    <col min="5" max="15" width="0" style="11" hidden="1" customWidth="1"/>
    <col min="16" max="16384" width="12" style="11"/>
  </cols>
  <sheetData>
    <row r="1" spans="1:8" ht="18.75" hidden="1" x14ac:dyDescent="0.3">
      <c r="A1" s="335" t="s">
        <v>215</v>
      </c>
      <c r="B1" s="335"/>
      <c r="C1" s="9"/>
      <c r="D1" s="9"/>
      <c r="E1" s="9"/>
      <c r="F1" s="10"/>
    </row>
    <row r="2" spans="1:8" ht="18" hidden="1" customHeight="1" x14ac:dyDescent="0.25">
      <c r="A2" s="335"/>
      <c r="B2" s="335"/>
      <c r="C2" s="9"/>
      <c r="D2" s="9"/>
      <c r="E2" s="9"/>
      <c r="F2" s="12"/>
    </row>
    <row r="3" spans="1:8" hidden="1" x14ac:dyDescent="0.2">
      <c r="A3" s="13"/>
      <c r="B3" s="13"/>
      <c r="C3" s="13"/>
      <c r="D3" s="13"/>
      <c r="E3" s="13"/>
      <c r="F3" s="13"/>
    </row>
    <row r="4" spans="1:8" hidden="1" x14ac:dyDescent="0.2">
      <c r="A4" s="13"/>
      <c r="B4" s="13"/>
      <c r="C4" s="13"/>
      <c r="D4" s="13"/>
      <c r="E4" s="13"/>
      <c r="F4" s="13"/>
    </row>
    <row r="5" spans="1:8" hidden="1" x14ac:dyDescent="0.2">
      <c r="A5" s="14" t="s">
        <v>216</v>
      </c>
      <c r="B5" s="14" t="s">
        <v>211</v>
      </c>
      <c r="C5" s="13"/>
      <c r="E5" s="13"/>
      <c r="F5" s="13"/>
    </row>
    <row r="6" spans="1:8" x14ac:dyDescent="0.2">
      <c r="A6" s="12"/>
      <c r="B6" s="13"/>
      <c r="C6" s="13"/>
      <c r="D6" s="13"/>
      <c r="E6" s="13"/>
    </row>
    <row r="7" spans="1:8" x14ac:dyDescent="0.2">
      <c r="A7" s="336" t="s">
        <v>0</v>
      </c>
      <c r="B7" s="336"/>
      <c r="C7" s="15"/>
      <c r="D7" s="15"/>
      <c r="E7" s="15"/>
    </row>
    <row r="8" spans="1:8" x14ac:dyDescent="0.2">
      <c r="A8" s="16"/>
      <c r="B8" s="16"/>
      <c r="C8" s="16"/>
      <c r="D8" s="16"/>
    </row>
    <row r="9" spans="1:8" x14ac:dyDescent="0.2">
      <c r="A9" s="17" t="s">
        <v>337</v>
      </c>
      <c r="B9" s="18"/>
      <c r="C9" s="18"/>
      <c r="D9" s="18"/>
    </row>
    <row r="11" spans="1:8" x14ac:dyDescent="0.2">
      <c r="A11" s="19" t="s">
        <v>1</v>
      </c>
      <c r="H11" s="59"/>
    </row>
    <row r="13" spans="1:8" x14ac:dyDescent="0.2">
      <c r="A13" s="20" t="s">
        <v>2</v>
      </c>
      <c r="B13" s="21">
        <f>DADOS!D5</f>
        <v>1529.93</v>
      </c>
      <c r="C13" s="11" t="s">
        <v>130</v>
      </c>
      <c r="H13" s="59"/>
    </row>
    <row r="14" spans="1:8" x14ac:dyDescent="0.2">
      <c r="A14" s="20" t="s">
        <v>3</v>
      </c>
      <c r="B14" s="21">
        <f>DADOS!D4*40%</f>
        <v>607.20000000000005</v>
      </c>
      <c r="C14" s="11" t="s">
        <v>130</v>
      </c>
      <c r="H14" s="59"/>
    </row>
    <row r="15" spans="1:8" x14ac:dyDescent="0.2">
      <c r="A15" s="22" t="s">
        <v>4</v>
      </c>
      <c r="B15" s="21">
        <f>SUM(B13:B14)</f>
        <v>2137.13</v>
      </c>
      <c r="C15" s="11" t="s">
        <v>130</v>
      </c>
      <c r="H15" s="59"/>
    </row>
    <row r="16" spans="1:8" x14ac:dyDescent="0.2">
      <c r="A16" s="20" t="s">
        <v>5</v>
      </c>
      <c r="B16" s="23">
        <f>Encargos!B56</f>
        <v>81</v>
      </c>
      <c r="C16" s="11" t="s">
        <v>221</v>
      </c>
    </row>
    <row r="17" spans="1:8" x14ac:dyDescent="0.2">
      <c r="A17" s="20" t="s">
        <v>6</v>
      </c>
      <c r="B17" s="21">
        <f>+B15+(B15*(B16/100))</f>
        <v>3868.2053000000005</v>
      </c>
      <c r="C17" s="11" t="s">
        <v>130</v>
      </c>
      <c r="G17" s="11">
        <f>25000/8</f>
        <v>3125</v>
      </c>
      <c r="H17" s="59"/>
    </row>
    <row r="19" spans="1:8" x14ac:dyDescent="0.2">
      <c r="A19" s="19" t="s">
        <v>90</v>
      </c>
      <c r="H19" s="59"/>
    </row>
    <row r="20" spans="1:8" x14ac:dyDescent="0.2">
      <c r="A20" s="11" t="s">
        <v>7</v>
      </c>
      <c r="C20" s="16"/>
      <c r="D20" s="16"/>
    </row>
    <row r="21" spans="1:8" x14ac:dyDescent="0.2">
      <c r="A21" s="20" t="s">
        <v>111</v>
      </c>
      <c r="B21" s="21">
        <f>B22+B23+B24+B25+B26</f>
        <v>164.55071428571429</v>
      </c>
      <c r="C21" s="11" t="s">
        <v>130</v>
      </c>
      <c r="D21" s="16"/>
    </row>
    <row r="22" spans="1:8" x14ac:dyDescent="0.2">
      <c r="A22" s="20" t="s">
        <v>156</v>
      </c>
      <c r="B22" s="21">
        <f>Planilha2!U20</f>
        <v>114.7</v>
      </c>
      <c r="C22" s="11" t="s">
        <v>130</v>
      </c>
      <c r="D22" s="16"/>
    </row>
    <row r="23" spans="1:8" x14ac:dyDescent="0.2">
      <c r="A23" s="20" t="s">
        <v>202</v>
      </c>
      <c r="B23" s="21">
        <f>Planilha2!U24</f>
        <v>22.84</v>
      </c>
      <c r="C23" s="11" t="s">
        <v>130</v>
      </c>
      <c r="D23" s="16"/>
    </row>
    <row r="24" spans="1:8" x14ac:dyDescent="0.2">
      <c r="A24" s="22" t="s">
        <v>157</v>
      </c>
      <c r="B24" s="21">
        <f>Planilha2!U22</f>
        <v>9.89</v>
      </c>
      <c r="C24" s="11" t="s">
        <v>130</v>
      </c>
      <c r="D24" s="16"/>
    </row>
    <row r="25" spans="1:8" x14ac:dyDescent="0.2">
      <c r="A25" s="22" t="s">
        <v>158</v>
      </c>
      <c r="B25" s="21">
        <f>Planilha2!U19</f>
        <v>16.770714285714284</v>
      </c>
      <c r="C25" s="11" t="s">
        <v>130</v>
      </c>
      <c r="D25" s="16"/>
    </row>
    <row r="26" spans="1:8" x14ac:dyDescent="0.2">
      <c r="A26" s="22" t="s">
        <v>636</v>
      </c>
      <c r="B26" s="21">
        <f>Planilha2!U26</f>
        <v>0.35</v>
      </c>
      <c r="C26" s="11" t="s">
        <v>130</v>
      </c>
      <c r="D26" s="16"/>
    </row>
    <row r="27" spans="1:8" x14ac:dyDescent="0.2">
      <c r="A27" s="22" t="s">
        <v>551</v>
      </c>
      <c r="B27" s="24">
        <f>DADOS!D18</f>
        <v>373.56</v>
      </c>
      <c r="C27" s="11" t="s">
        <v>130</v>
      </c>
    </row>
    <row r="28" spans="1:8" x14ac:dyDescent="0.2">
      <c r="A28" s="22" t="s">
        <v>169</v>
      </c>
      <c r="B28" s="24"/>
      <c r="C28" s="11" t="s">
        <v>130</v>
      </c>
    </row>
    <row r="29" spans="1:8" x14ac:dyDescent="0.2">
      <c r="A29" s="22" t="s">
        <v>538</v>
      </c>
      <c r="B29" s="24">
        <v>78.59</v>
      </c>
      <c r="C29" s="11" t="s">
        <v>130</v>
      </c>
    </row>
    <row r="30" spans="1:8" x14ac:dyDescent="0.2">
      <c r="A30" s="22" t="s">
        <v>354</v>
      </c>
      <c r="B30" s="24">
        <f>B27+B21+B28+B29</f>
        <v>616.7007142857143</v>
      </c>
      <c r="C30" s="11" t="s">
        <v>130</v>
      </c>
    </row>
    <row r="32" spans="1:8" x14ac:dyDescent="0.2">
      <c r="A32" s="25" t="s">
        <v>9</v>
      </c>
      <c r="B32" s="26">
        <f>B30+B17</f>
        <v>4484.9060142857152</v>
      </c>
      <c r="C32" s="27" t="s">
        <v>130</v>
      </c>
    </row>
    <row r="33" spans="1:12" hidden="1" x14ac:dyDescent="0.2">
      <c r="A33" s="28" t="s">
        <v>302</v>
      </c>
      <c r="B33" s="26">
        <f>B32/220</f>
        <v>20.385936428571434</v>
      </c>
      <c r="C33" s="27" t="s">
        <v>296</v>
      </c>
    </row>
    <row r="35" spans="1:12" x14ac:dyDescent="0.2">
      <c r="A35" s="17" t="s">
        <v>155</v>
      </c>
      <c r="B35" s="18"/>
    </row>
    <row r="37" spans="1:12" x14ac:dyDescent="0.2">
      <c r="A37" s="19" t="s">
        <v>1</v>
      </c>
    </row>
    <row r="39" spans="1:12" x14ac:dyDescent="0.2">
      <c r="A39" s="20" t="s">
        <v>2</v>
      </c>
      <c r="B39" s="21">
        <f>B13</f>
        <v>1529.93</v>
      </c>
      <c r="C39" s="11" t="s">
        <v>130</v>
      </c>
    </row>
    <row r="40" spans="1:12" x14ac:dyDescent="0.2">
      <c r="A40" s="20" t="s">
        <v>3</v>
      </c>
      <c r="B40" s="21">
        <f>B14</f>
        <v>607.20000000000005</v>
      </c>
      <c r="C40" s="11" t="s">
        <v>130</v>
      </c>
    </row>
    <row r="41" spans="1:12" x14ac:dyDescent="0.2">
      <c r="A41" s="20" t="s">
        <v>175</v>
      </c>
      <c r="B41" s="21">
        <f>+(B39+B40)/220*0.2*110</f>
        <v>213.71300000000002</v>
      </c>
      <c r="C41" s="11" t="s">
        <v>130</v>
      </c>
      <c r="K41" s="11">
        <v>4</v>
      </c>
      <c r="L41" s="11">
        <f>K41/8</f>
        <v>0.5</v>
      </c>
    </row>
    <row r="42" spans="1:12" x14ac:dyDescent="0.2">
      <c r="A42" s="22" t="s">
        <v>176</v>
      </c>
      <c r="B42" s="21">
        <f>SUM(B39:B41)</f>
        <v>2350.8430000000003</v>
      </c>
      <c r="C42" s="11" t="s">
        <v>130</v>
      </c>
    </row>
    <row r="43" spans="1:12" x14ac:dyDescent="0.2">
      <c r="A43" s="20" t="s">
        <v>177</v>
      </c>
      <c r="B43" s="23">
        <f>B16</f>
        <v>81</v>
      </c>
      <c r="C43" s="11" t="s">
        <v>221</v>
      </c>
    </row>
    <row r="44" spans="1:12" x14ac:dyDescent="0.2">
      <c r="A44" s="20" t="s">
        <v>178</v>
      </c>
      <c r="B44" s="21">
        <f>+B42+(B42*B43/100)</f>
        <v>4255.0258300000005</v>
      </c>
      <c r="C44" s="11" t="s">
        <v>130</v>
      </c>
    </row>
    <row r="46" spans="1:12" x14ac:dyDescent="0.2">
      <c r="A46" s="19" t="s">
        <v>90</v>
      </c>
    </row>
    <row r="47" spans="1:12" x14ac:dyDescent="0.2">
      <c r="A47" s="11" t="s">
        <v>7</v>
      </c>
    </row>
    <row r="48" spans="1:12" x14ac:dyDescent="0.2">
      <c r="A48" s="20" t="s">
        <v>111</v>
      </c>
      <c r="B48" s="21">
        <f>+B21</f>
        <v>164.55071428571429</v>
      </c>
      <c r="C48" s="11" t="s">
        <v>130</v>
      </c>
    </row>
    <row r="49" spans="1:4" x14ac:dyDescent="0.2">
      <c r="A49" s="20" t="s">
        <v>156</v>
      </c>
      <c r="B49" s="21">
        <f>+B22</f>
        <v>114.7</v>
      </c>
      <c r="C49" s="11" t="s">
        <v>130</v>
      </c>
    </row>
    <row r="50" spans="1:4" x14ac:dyDescent="0.2">
      <c r="A50" s="20" t="s">
        <v>202</v>
      </c>
      <c r="B50" s="21">
        <f>+B23</f>
        <v>22.84</v>
      </c>
      <c r="C50" s="11" t="s">
        <v>130</v>
      </c>
    </row>
    <row r="51" spans="1:4" x14ac:dyDescent="0.2">
      <c r="A51" s="22" t="s">
        <v>157</v>
      </c>
      <c r="B51" s="21">
        <f>+B24</f>
        <v>9.89</v>
      </c>
      <c r="C51" s="11" t="s">
        <v>130</v>
      </c>
    </row>
    <row r="52" spans="1:4" x14ac:dyDescent="0.2">
      <c r="A52" s="22" t="s">
        <v>158</v>
      </c>
      <c r="B52" s="21">
        <f>+B25</f>
        <v>16.770714285714284</v>
      </c>
      <c r="C52" s="11" t="s">
        <v>130</v>
      </c>
    </row>
    <row r="53" spans="1:4" x14ac:dyDescent="0.2">
      <c r="A53" s="22" t="s">
        <v>636</v>
      </c>
      <c r="B53" s="21" t="e">
        <f>#REF!</f>
        <v>#REF!</v>
      </c>
      <c r="C53" s="11" t="s">
        <v>130</v>
      </c>
      <c r="D53" s="16"/>
    </row>
    <row r="54" spans="1:4" x14ac:dyDescent="0.2">
      <c r="A54" s="22" t="s">
        <v>551</v>
      </c>
      <c r="B54" s="24">
        <f>B27</f>
        <v>373.56</v>
      </c>
      <c r="C54" s="11" t="s">
        <v>130</v>
      </c>
    </row>
    <row r="55" spans="1:4" x14ac:dyDescent="0.2">
      <c r="A55" s="22" t="s">
        <v>169</v>
      </c>
      <c r="B55" s="24"/>
      <c r="C55" s="11" t="s">
        <v>130</v>
      </c>
    </row>
    <row r="56" spans="1:4" x14ac:dyDescent="0.2">
      <c r="A56" s="22" t="s">
        <v>538</v>
      </c>
      <c r="B56" s="24">
        <f>B29</f>
        <v>78.59</v>
      </c>
      <c r="C56" s="11" t="s">
        <v>130</v>
      </c>
    </row>
    <row r="57" spans="1:4" x14ac:dyDescent="0.2">
      <c r="A57" s="22" t="s">
        <v>354</v>
      </c>
      <c r="B57" s="24">
        <f>B48+B54+B55+B56</f>
        <v>616.7007142857143</v>
      </c>
      <c r="C57" s="11" t="s">
        <v>130</v>
      </c>
    </row>
    <row r="59" spans="1:4" x14ac:dyDescent="0.2">
      <c r="A59" s="25" t="s">
        <v>9</v>
      </c>
      <c r="B59" s="26">
        <f>B57+B44</f>
        <v>4871.7265442857151</v>
      </c>
      <c r="C59" s="29" t="s">
        <v>130</v>
      </c>
    </row>
    <row r="60" spans="1:4" hidden="1" x14ac:dyDescent="0.2">
      <c r="A60" s="28" t="s">
        <v>302</v>
      </c>
      <c r="B60" s="26">
        <f>B59/220</f>
        <v>22.14421156493507</v>
      </c>
      <c r="C60" s="27" t="s">
        <v>296</v>
      </c>
    </row>
  </sheetData>
  <mergeCells count="3">
    <mergeCell ref="A1:B1"/>
    <mergeCell ref="A2:B2"/>
    <mergeCell ref="A7:B7"/>
  </mergeCells>
  <phoneticPr fontId="0" type="noConversion"/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"/>
  <sheetViews>
    <sheetView view="pageBreakPreview" topLeftCell="A5" workbookViewId="0">
      <selection activeCell="B27" sqref="B27"/>
    </sheetView>
  </sheetViews>
  <sheetFormatPr defaultColWidth="12" defaultRowHeight="12.75" x14ac:dyDescent="0.2"/>
  <cols>
    <col min="1" max="1" width="60.83203125" style="11" customWidth="1"/>
    <col min="2" max="2" width="17.83203125" style="11" customWidth="1"/>
    <col min="3" max="3" width="10.33203125" style="11" customWidth="1"/>
    <col min="4" max="16384" width="12" style="11"/>
  </cols>
  <sheetData>
    <row r="1" spans="1:6" ht="18.75" hidden="1" x14ac:dyDescent="0.3">
      <c r="A1" s="335" t="s">
        <v>215</v>
      </c>
      <c r="B1" s="335"/>
      <c r="C1" s="9"/>
      <c r="D1" s="9"/>
      <c r="E1" s="9"/>
      <c r="F1" s="10"/>
    </row>
    <row r="2" spans="1:6" ht="18" hidden="1" customHeight="1" x14ac:dyDescent="0.25">
      <c r="A2" s="335"/>
      <c r="B2" s="335"/>
      <c r="C2" s="9"/>
      <c r="D2" s="9"/>
      <c r="E2" s="9"/>
      <c r="F2" s="12"/>
    </row>
    <row r="3" spans="1:6" hidden="1" x14ac:dyDescent="0.2">
      <c r="A3" s="13"/>
      <c r="B3" s="13"/>
      <c r="C3" s="13"/>
      <c r="D3" s="13"/>
      <c r="E3" s="13"/>
      <c r="F3" s="13"/>
    </row>
    <row r="4" spans="1:6" hidden="1" x14ac:dyDescent="0.2">
      <c r="A4" s="14" t="s">
        <v>217</v>
      </c>
      <c r="B4" s="14" t="s">
        <v>211</v>
      </c>
      <c r="C4" s="13"/>
      <c r="E4" s="13"/>
      <c r="F4" s="13"/>
    </row>
    <row r="5" spans="1:6" x14ac:dyDescent="0.2">
      <c r="A5" s="12"/>
      <c r="B5" s="13"/>
      <c r="C5" s="13"/>
      <c r="D5" s="13"/>
      <c r="E5" s="13"/>
    </row>
    <row r="6" spans="1:6" x14ac:dyDescent="0.2">
      <c r="A6" s="336" t="s">
        <v>0</v>
      </c>
      <c r="B6" s="336"/>
      <c r="C6" s="15"/>
      <c r="D6" s="15"/>
      <c r="E6" s="15"/>
    </row>
    <row r="7" spans="1:6" x14ac:dyDescent="0.2">
      <c r="A7" s="16"/>
      <c r="B7" s="16"/>
      <c r="C7" s="16"/>
      <c r="D7" s="16"/>
    </row>
    <row r="8" spans="1:6" x14ac:dyDescent="0.2">
      <c r="A8" s="17" t="s">
        <v>338</v>
      </c>
      <c r="B8" s="18"/>
      <c r="C8" s="18"/>
      <c r="D8" s="18"/>
    </row>
    <row r="9" spans="1:6" x14ac:dyDescent="0.2">
      <c r="A9" s="18" t="s">
        <v>171</v>
      </c>
      <c r="B9" s="16"/>
      <c r="C9" s="16"/>
      <c r="D9" s="16"/>
    </row>
    <row r="11" spans="1:6" x14ac:dyDescent="0.2">
      <c r="A11" s="19" t="s">
        <v>1</v>
      </c>
    </row>
    <row r="13" spans="1:6" x14ac:dyDescent="0.2">
      <c r="A13" s="20" t="s">
        <v>172</v>
      </c>
      <c r="B13" s="21">
        <f>COLETOR!B13</f>
        <v>1529.93</v>
      </c>
      <c r="C13" s="11" t="s">
        <v>130</v>
      </c>
    </row>
    <row r="14" spans="1:6" x14ac:dyDescent="0.2">
      <c r="A14" s="22" t="s">
        <v>10</v>
      </c>
      <c r="B14" s="21">
        <f>DADOS!D4*0.2</f>
        <v>303.60000000000002</v>
      </c>
      <c r="C14" s="11" t="s">
        <v>130</v>
      </c>
    </row>
    <row r="15" spans="1:6" x14ac:dyDescent="0.2">
      <c r="A15" s="22" t="s">
        <v>4</v>
      </c>
      <c r="B15" s="21">
        <f>SUM(B13:B14)</f>
        <v>1833.5300000000002</v>
      </c>
      <c r="C15" s="11" t="s">
        <v>130</v>
      </c>
    </row>
    <row r="16" spans="1:6" x14ac:dyDescent="0.2">
      <c r="A16" s="20" t="s">
        <v>5</v>
      </c>
      <c r="B16" s="23">
        <f>COLETOR!B16</f>
        <v>81</v>
      </c>
      <c r="C16" s="11" t="s">
        <v>221</v>
      </c>
    </row>
    <row r="17" spans="1:4" x14ac:dyDescent="0.2">
      <c r="A17" s="20" t="s">
        <v>6</v>
      </c>
      <c r="B17" s="21">
        <f>+B15+(B15*B16/100)</f>
        <v>3318.6893000000005</v>
      </c>
      <c r="C17" s="11" t="s">
        <v>130</v>
      </c>
    </row>
    <row r="19" spans="1:4" x14ac:dyDescent="0.2">
      <c r="A19" s="19" t="s">
        <v>90</v>
      </c>
    </row>
    <row r="20" spans="1:4" x14ac:dyDescent="0.2">
      <c r="A20" s="11" t="s">
        <v>7</v>
      </c>
      <c r="C20" s="16"/>
      <c r="D20" s="16"/>
    </row>
    <row r="21" spans="1:4" x14ac:dyDescent="0.2">
      <c r="A21" s="20" t="s">
        <v>111</v>
      </c>
      <c r="B21" s="21">
        <f>B22+B23+B24+B25+B26</f>
        <v>156.13529761904761</v>
      </c>
      <c r="C21" s="11" t="s">
        <v>130</v>
      </c>
      <c r="D21" s="16"/>
    </row>
    <row r="22" spans="1:4" x14ac:dyDescent="0.2">
      <c r="A22" s="20" t="s">
        <v>156</v>
      </c>
      <c r="B22" s="21">
        <f>COLETOR!B22</f>
        <v>114.7</v>
      </c>
      <c r="C22" s="11" t="s">
        <v>130</v>
      </c>
      <c r="D22" s="16"/>
    </row>
    <row r="23" spans="1:4" x14ac:dyDescent="0.2">
      <c r="A23" s="20" t="s">
        <v>202</v>
      </c>
      <c r="B23" s="21">
        <f>COLETOR!B23</f>
        <v>22.84</v>
      </c>
      <c r="C23" s="11" t="s">
        <v>130</v>
      </c>
      <c r="D23" s="16"/>
    </row>
    <row r="24" spans="1:4" x14ac:dyDescent="0.2">
      <c r="A24" s="22" t="s">
        <v>157</v>
      </c>
      <c r="B24" s="21">
        <f>Planilha2!U23</f>
        <v>1.4745833333333334</v>
      </c>
      <c r="C24" s="11" t="s">
        <v>130</v>
      </c>
      <c r="D24" s="16"/>
    </row>
    <row r="25" spans="1:4" x14ac:dyDescent="0.2">
      <c r="A25" s="22" t="s">
        <v>158</v>
      </c>
      <c r="B25" s="21">
        <f>COLETOR!B25</f>
        <v>16.770714285714284</v>
      </c>
      <c r="C25" s="11" t="s">
        <v>130</v>
      </c>
      <c r="D25" s="16"/>
    </row>
    <row r="26" spans="1:4" x14ac:dyDescent="0.2">
      <c r="A26" s="22" t="s">
        <v>636</v>
      </c>
      <c r="B26" s="21">
        <f>COLETOR!B26</f>
        <v>0.35</v>
      </c>
      <c r="C26" s="11" t="s">
        <v>130</v>
      </c>
      <c r="D26" s="16"/>
    </row>
    <row r="27" spans="1:4" x14ac:dyDescent="0.2">
      <c r="A27" s="22" t="s">
        <v>551</v>
      </c>
      <c r="B27" s="24">
        <f>COLETOR!B27</f>
        <v>373.56</v>
      </c>
      <c r="C27" s="11" t="s">
        <v>130</v>
      </c>
    </row>
    <row r="28" spans="1:4" hidden="1" x14ac:dyDescent="0.2">
      <c r="A28" s="22" t="s">
        <v>166</v>
      </c>
      <c r="B28" s="24"/>
      <c r="C28" s="11" t="s">
        <v>130</v>
      </c>
    </row>
    <row r="29" spans="1:4" hidden="1" x14ac:dyDescent="0.2">
      <c r="A29" s="22" t="s">
        <v>167</v>
      </c>
      <c r="B29" s="24"/>
      <c r="C29" s="11" t="s">
        <v>130</v>
      </c>
    </row>
    <row r="30" spans="1:4" x14ac:dyDescent="0.2">
      <c r="A30" s="22" t="s">
        <v>169</v>
      </c>
      <c r="B30" s="24"/>
      <c r="C30" s="11" t="s">
        <v>130</v>
      </c>
    </row>
    <row r="31" spans="1:4" x14ac:dyDescent="0.2">
      <c r="A31" s="22" t="s">
        <v>538</v>
      </c>
      <c r="B31" s="24">
        <f>COLETOR!B29</f>
        <v>78.59</v>
      </c>
      <c r="C31" s="11" t="s">
        <v>130</v>
      </c>
    </row>
    <row r="32" spans="1:4" x14ac:dyDescent="0.2">
      <c r="A32" s="22" t="s">
        <v>354</v>
      </c>
      <c r="B32" s="24">
        <f>B21+B27+B30+B31</f>
        <v>608.28529761904758</v>
      </c>
      <c r="C32" s="11" t="s">
        <v>130</v>
      </c>
    </row>
    <row r="34" spans="1:3" x14ac:dyDescent="0.2">
      <c r="A34" s="25" t="s">
        <v>9</v>
      </c>
      <c r="B34" s="26">
        <f>B17+B32</f>
        <v>3926.9745976190479</v>
      </c>
      <c r="C34" s="27" t="s">
        <v>130</v>
      </c>
    </row>
    <row r="35" spans="1:3" hidden="1" x14ac:dyDescent="0.2">
      <c r="A35" s="28" t="s">
        <v>302</v>
      </c>
      <c r="B35" s="26">
        <f>B34/220</f>
        <v>17.849884534632036</v>
      </c>
      <c r="C35" s="27" t="s">
        <v>296</v>
      </c>
    </row>
    <row r="37" spans="1:3" x14ac:dyDescent="0.2">
      <c r="A37" s="17" t="s">
        <v>153</v>
      </c>
      <c r="B37" s="18"/>
    </row>
    <row r="38" spans="1:3" x14ac:dyDescent="0.2">
      <c r="A38" s="18" t="s">
        <v>173</v>
      </c>
      <c r="B38" s="16"/>
    </row>
    <row r="40" spans="1:3" x14ac:dyDescent="0.2">
      <c r="A40" s="19" t="s">
        <v>1</v>
      </c>
    </row>
    <row r="42" spans="1:3" x14ac:dyDescent="0.2">
      <c r="A42" s="20" t="s">
        <v>172</v>
      </c>
      <c r="B42" s="21">
        <f>B13</f>
        <v>1529.93</v>
      </c>
      <c r="C42" s="11" t="s">
        <v>130</v>
      </c>
    </row>
    <row r="43" spans="1:3" x14ac:dyDescent="0.2">
      <c r="A43" s="20" t="s">
        <v>10</v>
      </c>
      <c r="B43" s="21">
        <f>B14</f>
        <v>303.60000000000002</v>
      </c>
      <c r="C43" s="11" t="s">
        <v>130</v>
      </c>
    </row>
    <row r="44" spans="1:3" x14ac:dyDescent="0.2">
      <c r="A44" s="20" t="s">
        <v>175</v>
      </c>
      <c r="B44" s="21">
        <f>+(B42+B43)/220*0.2*55</f>
        <v>91.676500000000019</v>
      </c>
      <c r="C44" s="11" t="s">
        <v>130</v>
      </c>
    </row>
    <row r="45" spans="1:3" x14ac:dyDescent="0.2">
      <c r="A45" s="22" t="s">
        <v>176</v>
      </c>
      <c r="B45" s="21">
        <f>SUM(B42:B44)</f>
        <v>1925.2065000000002</v>
      </c>
      <c r="C45" s="11" t="s">
        <v>130</v>
      </c>
    </row>
    <row r="46" spans="1:3" x14ac:dyDescent="0.2">
      <c r="A46" s="20" t="s">
        <v>177</v>
      </c>
      <c r="B46" s="23">
        <f>COLETOR!B43</f>
        <v>81</v>
      </c>
      <c r="C46" s="11" t="s">
        <v>221</v>
      </c>
    </row>
    <row r="47" spans="1:3" x14ac:dyDescent="0.2">
      <c r="A47" s="20" t="s">
        <v>178</v>
      </c>
      <c r="B47" s="21">
        <f>+B45+(B45*B46/100)</f>
        <v>3484.6237650000003</v>
      </c>
      <c r="C47" s="11" t="s">
        <v>130</v>
      </c>
    </row>
    <row r="49" spans="1:8" x14ac:dyDescent="0.2">
      <c r="A49" s="19" t="s">
        <v>90</v>
      </c>
    </row>
    <row r="50" spans="1:8" x14ac:dyDescent="0.2">
      <c r="A50" s="11" t="s">
        <v>7</v>
      </c>
    </row>
    <row r="51" spans="1:8" x14ac:dyDescent="0.2">
      <c r="A51" s="20" t="s">
        <v>111</v>
      </c>
      <c r="B51" s="21">
        <f>B21</f>
        <v>156.13529761904761</v>
      </c>
      <c r="C51" s="16" t="s">
        <v>130</v>
      </c>
      <c r="D51" s="16"/>
    </row>
    <row r="52" spans="1:8" x14ac:dyDescent="0.2">
      <c r="A52" s="20" t="s">
        <v>156</v>
      </c>
      <c r="B52" s="21">
        <f>B22</f>
        <v>114.7</v>
      </c>
      <c r="C52" s="16" t="s">
        <v>130</v>
      </c>
      <c r="D52" s="16"/>
    </row>
    <row r="53" spans="1:8" x14ac:dyDescent="0.2">
      <c r="A53" s="20" t="s">
        <v>202</v>
      </c>
      <c r="B53" s="21">
        <f>B23</f>
        <v>22.84</v>
      </c>
      <c r="C53" s="16" t="s">
        <v>130</v>
      </c>
      <c r="D53" s="16"/>
    </row>
    <row r="54" spans="1:8" x14ac:dyDescent="0.2">
      <c r="A54" s="22" t="s">
        <v>157</v>
      </c>
      <c r="B54" s="21">
        <f>B24</f>
        <v>1.4745833333333334</v>
      </c>
      <c r="C54" s="16" t="s">
        <v>130</v>
      </c>
      <c r="D54" s="16"/>
      <c r="H54" s="24"/>
    </row>
    <row r="55" spans="1:8" x14ac:dyDescent="0.2">
      <c r="A55" s="22" t="s">
        <v>158</v>
      </c>
      <c r="B55" s="21">
        <f>B25</f>
        <v>16.770714285714284</v>
      </c>
      <c r="C55" s="16" t="s">
        <v>130</v>
      </c>
      <c r="D55" s="16"/>
    </row>
    <row r="56" spans="1:8" x14ac:dyDescent="0.2">
      <c r="A56" s="22" t="s">
        <v>636</v>
      </c>
      <c r="B56" s="21" t="e">
        <f>#REF!</f>
        <v>#REF!</v>
      </c>
      <c r="C56" s="11" t="s">
        <v>130</v>
      </c>
      <c r="D56" s="16"/>
    </row>
    <row r="57" spans="1:8" x14ac:dyDescent="0.2">
      <c r="A57" s="22" t="s">
        <v>551</v>
      </c>
      <c r="B57" s="24">
        <f>COLETOR!B54</f>
        <v>373.56</v>
      </c>
      <c r="C57" s="16" t="s">
        <v>130</v>
      </c>
    </row>
    <row r="58" spans="1:8" hidden="1" x14ac:dyDescent="0.2">
      <c r="A58" s="22" t="s">
        <v>166</v>
      </c>
      <c r="B58" s="24">
        <v>25</v>
      </c>
      <c r="C58" s="16" t="s">
        <v>130</v>
      </c>
    </row>
    <row r="59" spans="1:8" hidden="1" x14ac:dyDescent="0.2">
      <c r="A59" s="22" t="s">
        <v>167</v>
      </c>
      <c r="B59" s="24"/>
      <c r="C59" s="16" t="s">
        <v>130</v>
      </c>
    </row>
    <row r="60" spans="1:8" x14ac:dyDescent="0.2">
      <c r="A60" s="22" t="s">
        <v>169</v>
      </c>
      <c r="B60" s="24"/>
      <c r="C60" s="16" t="s">
        <v>130</v>
      </c>
    </row>
    <row r="61" spans="1:8" x14ac:dyDescent="0.2">
      <c r="A61" s="22" t="s">
        <v>538</v>
      </c>
      <c r="B61" s="24">
        <f>B31</f>
        <v>78.59</v>
      </c>
      <c r="C61" s="11" t="s">
        <v>130</v>
      </c>
    </row>
    <row r="62" spans="1:8" x14ac:dyDescent="0.2">
      <c r="A62" s="22" t="s">
        <v>354</v>
      </c>
      <c r="B62" s="24">
        <f>B57+B51+B60+B61</f>
        <v>608.28529761904758</v>
      </c>
      <c r="C62" s="11" t="s">
        <v>130</v>
      </c>
    </row>
    <row r="64" spans="1:8" x14ac:dyDescent="0.2">
      <c r="A64" s="25" t="s">
        <v>9</v>
      </c>
      <c r="B64" s="26">
        <f>B62+B47</f>
        <v>4092.9090626190477</v>
      </c>
      <c r="C64" s="29" t="s">
        <v>130</v>
      </c>
    </row>
    <row r="65" spans="1:3" hidden="1" x14ac:dyDescent="0.2">
      <c r="A65" s="28" t="s">
        <v>302</v>
      </c>
      <c r="B65" s="26">
        <f>B64/220</f>
        <v>18.604132102813853</v>
      </c>
      <c r="C65" s="27" t="s">
        <v>296</v>
      </c>
    </row>
  </sheetData>
  <mergeCells count="3">
    <mergeCell ref="A1:B1"/>
    <mergeCell ref="A2:B2"/>
    <mergeCell ref="A6:B6"/>
  </mergeCells>
  <phoneticPr fontId="0" type="noConversion"/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rowBreaks count="1" manualBreakCount="1">
    <brk id="65" max="2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9"/>
  <sheetViews>
    <sheetView view="pageBreakPreview" topLeftCell="A6" workbookViewId="0">
      <selection activeCell="B25" sqref="B25"/>
    </sheetView>
  </sheetViews>
  <sheetFormatPr defaultColWidth="12" defaultRowHeight="12.75" x14ac:dyDescent="0.2"/>
  <cols>
    <col min="1" max="1" width="65.33203125" style="11" customWidth="1"/>
    <col min="2" max="2" width="18.1640625" style="11" customWidth="1"/>
    <col min="3" max="3" width="12.1640625" style="11" customWidth="1"/>
    <col min="4" max="16384" width="12" style="11"/>
  </cols>
  <sheetData>
    <row r="1" spans="1:6" ht="18.75" hidden="1" x14ac:dyDescent="0.3">
      <c r="A1" s="335" t="s">
        <v>215</v>
      </c>
      <c r="B1" s="335"/>
      <c r="C1" s="9"/>
      <c r="D1" s="9"/>
      <c r="E1" s="9"/>
      <c r="F1" s="10"/>
    </row>
    <row r="2" spans="1:6" ht="18" hidden="1" customHeight="1" x14ac:dyDescent="0.25">
      <c r="A2" s="335"/>
      <c r="B2" s="335"/>
      <c r="C2" s="9"/>
      <c r="D2" s="9"/>
      <c r="E2" s="9"/>
      <c r="F2" s="12"/>
    </row>
    <row r="3" spans="1:6" hidden="1" x14ac:dyDescent="0.2">
      <c r="A3" s="13"/>
      <c r="B3" s="13"/>
      <c r="C3" s="13"/>
      <c r="D3" s="13"/>
      <c r="E3" s="13"/>
      <c r="F3" s="13"/>
    </row>
    <row r="4" spans="1:6" hidden="1" x14ac:dyDescent="0.2">
      <c r="A4" s="13"/>
      <c r="B4" s="13"/>
      <c r="C4" s="13"/>
      <c r="D4" s="13"/>
      <c r="E4" s="13"/>
      <c r="F4" s="13"/>
    </row>
    <row r="5" spans="1:6" hidden="1" x14ac:dyDescent="0.2">
      <c r="A5" s="14" t="s">
        <v>187</v>
      </c>
      <c r="B5" s="14" t="s">
        <v>211</v>
      </c>
      <c r="C5" s="13"/>
      <c r="E5" s="13"/>
      <c r="F5" s="13"/>
    </row>
    <row r="6" spans="1:6" x14ac:dyDescent="0.2">
      <c r="A6" s="12"/>
      <c r="B6" s="13"/>
      <c r="C6" s="13"/>
      <c r="D6" s="13"/>
      <c r="E6" s="13"/>
    </row>
    <row r="7" spans="1:6" x14ac:dyDescent="0.2">
      <c r="A7" s="336" t="s">
        <v>0</v>
      </c>
      <c r="B7" s="336"/>
      <c r="C7" s="15"/>
      <c r="D7" s="15"/>
      <c r="E7" s="15"/>
    </row>
    <row r="8" spans="1:6" x14ac:dyDescent="0.2">
      <c r="A8" s="16"/>
      <c r="B8" s="16"/>
    </row>
    <row r="9" spans="1:6" x14ac:dyDescent="0.2">
      <c r="A9" s="17" t="s">
        <v>346</v>
      </c>
      <c r="B9" s="18"/>
    </row>
    <row r="10" spans="1:6" x14ac:dyDescent="0.2">
      <c r="A10" s="16"/>
      <c r="B10" s="16"/>
    </row>
    <row r="12" spans="1:6" x14ac:dyDescent="0.2">
      <c r="A12" s="19" t="s">
        <v>1</v>
      </c>
    </row>
    <row r="14" spans="1:6" x14ac:dyDescent="0.2">
      <c r="A14" s="20" t="s">
        <v>168</v>
      </c>
      <c r="B14" s="35">
        <f>DADOS!D6</f>
        <v>2959.9372499999995</v>
      </c>
      <c r="C14" s="11" t="s">
        <v>130</v>
      </c>
    </row>
    <row r="15" spans="1:6" x14ac:dyDescent="0.2">
      <c r="A15" s="20" t="s">
        <v>10</v>
      </c>
      <c r="B15" s="21">
        <f>DADOS!D4*0.2</f>
        <v>303.60000000000002</v>
      </c>
      <c r="C15" s="11" t="s">
        <v>130</v>
      </c>
    </row>
    <row r="16" spans="1:6" x14ac:dyDescent="0.2">
      <c r="A16" s="22" t="s">
        <v>4</v>
      </c>
      <c r="B16" s="21">
        <f>SUM(B14:B15)</f>
        <v>3263.5372499999994</v>
      </c>
      <c r="C16" s="11" t="s">
        <v>130</v>
      </c>
    </row>
    <row r="17" spans="1:4" x14ac:dyDescent="0.2">
      <c r="A17" s="20" t="s">
        <v>5</v>
      </c>
      <c r="B17" s="23">
        <f>COLETOR!B16</f>
        <v>81</v>
      </c>
      <c r="C17" s="11" t="s">
        <v>221</v>
      </c>
    </row>
    <row r="18" spans="1:4" x14ac:dyDescent="0.2">
      <c r="A18" s="22" t="s">
        <v>6</v>
      </c>
      <c r="B18" s="21">
        <f>+B16+(B16*B17/100)</f>
        <v>5907.0024224999997</v>
      </c>
      <c r="C18" s="11" t="s">
        <v>130</v>
      </c>
    </row>
    <row r="20" spans="1:4" x14ac:dyDescent="0.2">
      <c r="A20" s="19" t="s">
        <v>90</v>
      </c>
    </row>
    <row r="21" spans="1:4" x14ac:dyDescent="0.2">
      <c r="A21" s="11" t="s">
        <v>7</v>
      </c>
      <c r="C21" s="16"/>
      <c r="D21" s="16"/>
    </row>
    <row r="22" spans="1:4" x14ac:dyDescent="0.2">
      <c r="A22" s="20" t="s">
        <v>132</v>
      </c>
      <c r="B22" s="21">
        <f>B23+B24+B25+B26</f>
        <v>125.24283333333334</v>
      </c>
      <c r="C22" s="11" t="s">
        <v>130</v>
      </c>
      <c r="D22" s="16"/>
    </row>
    <row r="23" spans="1:4" x14ac:dyDescent="0.2">
      <c r="A23" s="20" t="s">
        <v>156</v>
      </c>
      <c r="B23" s="21">
        <f>Planilha2!U20</f>
        <v>114.7</v>
      </c>
      <c r="C23" s="11" t="s">
        <v>130</v>
      </c>
      <c r="D23" s="16"/>
    </row>
    <row r="24" spans="1:4" x14ac:dyDescent="0.2">
      <c r="A24" s="20" t="s">
        <v>203</v>
      </c>
      <c r="B24" s="21">
        <f>Planilha2!U25</f>
        <v>10.542833333333332</v>
      </c>
      <c r="C24" s="11" t="s">
        <v>130</v>
      </c>
      <c r="D24" s="16"/>
    </row>
    <row r="25" spans="1:4" x14ac:dyDescent="0.2">
      <c r="A25" s="22" t="s">
        <v>157</v>
      </c>
      <c r="B25" s="21">
        <v>0</v>
      </c>
      <c r="D25" s="16"/>
    </row>
    <row r="26" spans="1:4" x14ac:dyDescent="0.2">
      <c r="A26" s="22" t="s">
        <v>158</v>
      </c>
      <c r="B26" s="21">
        <v>0</v>
      </c>
      <c r="D26" s="16"/>
    </row>
    <row r="27" spans="1:4" x14ac:dyDescent="0.2">
      <c r="A27" s="22" t="s">
        <v>228</v>
      </c>
      <c r="B27" s="24">
        <f>DADOS!D19</f>
        <v>373.56</v>
      </c>
      <c r="C27" s="11" t="s">
        <v>130</v>
      </c>
    </row>
    <row r="28" spans="1:4" x14ac:dyDescent="0.2">
      <c r="A28" s="22" t="s">
        <v>169</v>
      </c>
      <c r="B28" s="24"/>
      <c r="C28" s="11" t="s">
        <v>130</v>
      </c>
    </row>
    <row r="29" spans="1:4" x14ac:dyDescent="0.2">
      <c r="A29" s="22" t="s">
        <v>538</v>
      </c>
      <c r="B29" s="24">
        <f>COLETOR!B29</f>
        <v>78.59</v>
      </c>
      <c r="C29" s="11" t="s">
        <v>130</v>
      </c>
    </row>
    <row r="30" spans="1:4" x14ac:dyDescent="0.2">
      <c r="A30" s="22" t="s">
        <v>354</v>
      </c>
      <c r="B30" s="24">
        <f>B27+B22+B28+B29</f>
        <v>577.39283333333333</v>
      </c>
      <c r="C30" s="11" t="s">
        <v>130</v>
      </c>
    </row>
    <row r="32" spans="1:4" x14ac:dyDescent="0.2">
      <c r="A32" s="25" t="s">
        <v>9</v>
      </c>
      <c r="B32" s="26">
        <f>B30+B18</f>
        <v>6484.3952558333331</v>
      </c>
      <c r="C32" s="27" t="s">
        <v>130</v>
      </c>
    </row>
    <row r="33" spans="1:3" hidden="1" x14ac:dyDescent="0.2">
      <c r="A33" s="28" t="s">
        <v>302</v>
      </c>
      <c r="B33" s="26">
        <f>B32/220</f>
        <v>29.474523890151513</v>
      </c>
      <c r="C33" s="31" t="s">
        <v>296</v>
      </c>
    </row>
    <row r="35" spans="1:3" x14ac:dyDescent="0.2">
      <c r="A35" s="17" t="s">
        <v>347</v>
      </c>
      <c r="B35" s="18"/>
    </row>
    <row r="37" spans="1:3" x14ac:dyDescent="0.2">
      <c r="A37" s="20" t="s">
        <v>1</v>
      </c>
    </row>
    <row r="39" spans="1:3" x14ac:dyDescent="0.2">
      <c r="A39" s="20" t="s">
        <v>168</v>
      </c>
      <c r="B39" s="35">
        <f>B14</f>
        <v>2959.9372499999995</v>
      </c>
      <c r="C39" s="11" t="s">
        <v>130</v>
      </c>
    </row>
    <row r="40" spans="1:3" x14ac:dyDescent="0.2">
      <c r="A40" s="20" t="s">
        <v>10</v>
      </c>
      <c r="B40" s="21">
        <f>B15</f>
        <v>303.60000000000002</v>
      </c>
      <c r="C40" s="11" t="s">
        <v>130</v>
      </c>
    </row>
    <row r="41" spans="1:3" x14ac:dyDescent="0.2">
      <c r="A41" s="20" t="s">
        <v>175</v>
      </c>
      <c r="B41" s="21">
        <f>+(B39+B40)/220*0.25*110</f>
        <v>407.94215624999993</v>
      </c>
      <c r="C41" s="11" t="s">
        <v>130</v>
      </c>
    </row>
    <row r="42" spans="1:3" x14ac:dyDescent="0.2">
      <c r="A42" s="22" t="s">
        <v>176</v>
      </c>
      <c r="B42" s="21">
        <f>SUM(B39:B41)</f>
        <v>3671.4794062499996</v>
      </c>
      <c r="C42" s="11" t="s">
        <v>130</v>
      </c>
    </row>
    <row r="43" spans="1:3" x14ac:dyDescent="0.2">
      <c r="A43" s="20" t="s">
        <v>177</v>
      </c>
      <c r="B43" s="23">
        <f>COLETOR!B43</f>
        <v>81</v>
      </c>
      <c r="C43" s="11" t="s">
        <v>221</v>
      </c>
    </row>
    <row r="44" spans="1:3" x14ac:dyDescent="0.2">
      <c r="A44" s="22" t="s">
        <v>178</v>
      </c>
      <c r="B44" s="21">
        <f>+B42+(B42*B43/100)</f>
        <v>6645.377725312499</v>
      </c>
      <c r="C44" s="11" t="s">
        <v>130</v>
      </c>
    </row>
    <row r="46" spans="1:3" x14ac:dyDescent="0.2">
      <c r="A46" s="20" t="s">
        <v>90</v>
      </c>
    </row>
    <row r="47" spans="1:3" x14ac:dyDescent="0.2">
      <c r="A47" s="11" t="s">
        <v>7</v>
      </c>
    </row>
    <row r="48" spans="1:3" x14ac:dyDescent="0.2">
      <c r="A48" s="20" t="s">
        <v>132</v>
      </c>
      <c r="B48" s="21">
        <f>B22</f>
        <v>125.24283333333334</v>
      </c>
      <c r="C48" s="11" t="s">
        <v>130</v>
      </c>
    </row>
    <row r="49" spans="1:3" x14ac:dyDescent="0.2">
      <c r="A49" s="20" t="s">
        <v>156</v>
      </c>
      <c r="B49" s="21">
        <f>+B23</f>
        <v>114.7</v>
      </c>
      <c r="C49" s="11" t="s">
        <v>130</v>
      </c>
    </row>
    <row r="50" spans="1:3" x14ac:dyDescent="0.2">
      <c r="A50" s="20" t="s">
        <v>203</v>
      </c>
      <c r="B50" s="21">
        <f>+B24</f>
        <v>10.542833333333332</v>
      </c>
      <c r="C50" s="11" t="s">
        <v>130</v>
      </c>
    </row>
    <row r="51" spans="1:3" x14ac:dyDescent="0.2">
      <c r="A51" s="22" t="s">
        <v>157</v>
      </c>
      <c r="B51" s="21">
        <f>+B25</f>
        <v>0</v>
      </c>
    </row>
    <row r="52" spans="1:3" x14ac:dyDescent="0.2">
      <c r="A52" s="22" t="s">
        <v>158</v>
      </c>
      <c r="B52" s="21">
        <f>+B26</f>
        <v>0</v>
      </c>
    </row>
    <row r="53" spans="1:3" x14ac:dyDescent="0.2">
      <c r="A53" s="22" t="s">
        <v>208</v>
      </c>
      <c r="B53" s="24">
        <f>+B27</f>
        <v>373.56</v>
      </c>
      <c r="C53" s="11" t="s">
        <v>130</v>
      </c>
    </row>
    <row r="54" spans="1:3" x14ac:dyDescent="0.2">
      <c r="A54" s="22" t="s">
        <v>169</v>
      </c>
      <c r="B54" s="24"/>
      <c r="C54" s="11" t="s">
        <v>130</v>
      </c>
    </row>
    <row r="55" spans="1:3" x14ac:dyDescent="0.2">
      <c r="A55" s="22" t="s">
        <v>538</v>
      </c>
      <c r="B55" s="24">
        <f>B29</f>
        <v>78.59</v>
      </c>
      <c r="C55" s="11" t="s">
        <v>130</v>
      </c>
    </row>
    <row r="56" spans="1:3" x14ac:dyDescent="0.2">
      <c r="A56" s="22" t="s">
        <v>354</v>
      </c>
      <c r="B56" s="24">
        <f>B53+B48+B54+B55</f>
        <v>577.39283333333333</v>
      </c>
      <c r="C56" s="11" t="s">
        <v>130</v>
      </c>
    </row>
    <row r="58" spans="1:3" x14ac:dyDescent="0.2">
      <c r="A58" s="25" t="s">
        <v>9</v>
      </c>
      <c r="B58" s="26">
        <f>B56+B44</f>
        <v>7222.7705586458324</v>
      </c>
      <c r="C58" s="29" t="s">
        <v>130</v>
      </c>
    </row>
    <row r="59" spans="1:3" hidden="1" x14ac:dyDescent="0.2">
      <c r="A59" s="28" t="s">
        <v>302</v>
      </c>
      <c r="B59" s="26">
        <f>B58/220</f>
        <v>32.830775266571962</v>
      </c>
      <c r="C59" s="31" t="s">
        <v>296</v>
      </c>
    </row>
  </sheetData>
  <mergeCells count="3">
    <mergeCell ref="A1:B1"/>
    <mergeCell ref="A2:B2"/>
    <mergeCell ref="A7:B7"/>
  </mergeCells>
  <phoneticPr fontId="0" type="noConversion"/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0"/>
  <sheetViews>
    <sheetView view="pageBreakPreview" topLeftCell="A18" zoomScaleSheetLayoutView="100" workbookViewId="0">
      <selection activeCell="B28" sqref="B28"/>
    </sheetView>
  </sheetViews>
  <sheetFormatPr defaultColWidth="12" defaultRowHeight="12.75" x14ac:dyDescent="0.2"/>
  <cols>
    <col min="1" max="1" width="62.1640625" style="11" customWidth="1"/>
    <col min="2" max="2" width="18.33203125" style="11" customWidth="1"/>
    <col min="3" max="3" width="11" style="11" customWidth="1"/>
    <col min="4" max="16384" width="12" style="11"/>
  </cols>
  <sheetData>
    <row r="1" spans="1:6" ht="18.75" hidden="1" x14ac:dyDescent="0.3">
      <c r="A1" s="335" t="s">
        <v>215</v>
      </c>
      <c r="B1" s="335"/>
      <c r="C1" s="9"/>
      <c r="D1" s="9"/>
      <c r="E1" s="9"/>
      <c r="F1" s="10"/>
    </row>
    <row r="2" spans="1:6" ht="18" hidden="1" customHeight="1" x14ac:dyDescent="0.25">
      <c r="A2" s="335"/>
      <c r="B2" s="335"/>
      <c r="C2" s="9"/>
      <c r="D2" s="9"/>
      <c r="E2" s="9"/>
      <c r="F2" s="12"/>
    </row>
    <row r="3" spans="1:6" hidden="1" x14ac:dyDescent="0.2">
      <c r="A3" s="13"/>
      <c r="B3" s="13"/>
      <c r="C3" s="13"/>
      <c r="D3" s="13"/>
      <c r="E3" s="13"/>
      <c r="F3" s="13"/>
    </row>
    <row r="4" spans="1:6" hidden="1" x14ac:dyDescent="0.2">
      <c r="A4" s="13"/>
      <c r="B4" s="13"/>
      <c r="C4" s="13"/>
      <c r="D4" s="13"/>
      <c r="E4" s="13"/>
      <c r="F4" s="13"/>
    </row>
    <row r="5" spans="1:6" hidden="1" x14ac:dyDescent="0.2">
      <c r="A5" s="14" t="s">
        <v>187</v>
      </c>
      <c r="B5" s="14" t="s">
        <v>211</v>
      </c>
      <c r="C5" s="13"/>
      <c r="E5" s="13"/>
      <c r="F5" s="13"/>
    </row>
    <row r="6" spans="1:6" x14ac:dyDescent="0.2">
      <c r="A6" s="12"/>
      <c r="B6" s="13"/>
      <c r="C6" s="13"/>
      <c r="D6" s="13"/>
      <c r="E6" s="13"/>
    </row>
    <row r="7" spans="1:6" x14ac:dyDescent="0.2">
      <c r="A7" s="336" t="s">
        <v>0</v>
      </c>
      <c r="B7" s="336"/>
      <c r="C7" s="15"/>
      <c r="D7" s="15"/>
      <c r="E7" s="15"/>
    </row>
    <row r="8" spans="1:6" x14ac:dyDescent="0.2">
      <c r="A8" s="16"/>
      <c r="B8" s="16"/>
    </row>
    <row r="9" spans="1:6" x14ac:dyDescent="0.2">
      <c r="A9" s="17" t="s">
        <v>341</v>
      </c>
      <c r="B9" s="18"/>
    </row>
    <row r="11" spans="1:6" x14ac:dyDescent="0.2">
      <c r="A11" s="19" t="s">
        <v>1</v>
      </c>
    </row>
    <row r="13" spans="1:6" x14ac:dyDescent="0.2">
      <c r="A13" s="20" t="s">
        <v>174</v>
      </c>
      <c r="B13" s="21">
        <f>DADOS!D7</f>
        <v>3614.107</v>
      </c>
      <c r="C13" s="11" t="s">
        <v>130</v>
      </c>
    </row>
    <row r="14" spans="1:6" x14ac:dyDescent="0.2">
      <c r="A14" s="20" t="s">
        <v>190</v>
      </c>
      <c r="B14" s="30"/>
      <c r="C14" s="11" t="s">
        <v>130</v>
      </c>
    </row>
    <row r="15" spans="1:6" x14ac:dyDescent="0.2">
      <c r="A15" s="20" t="s">
        <v>527</v>
      </c>
      <c r="B15" s="30">
        <f>B13*0.3</f>
        <v>1084.2320999999999</v>
      </c>
      <c r="C15" s="11" t="s">
        <v>130</v>
      </c>
    </row>
    <row r="16" spans="1:6" x14ac:dyDescent="0.2">
      <c r="A16" s="22" t="s">
        <v>176</v>
      </c>
      <c r="B16" s="21">
        <f>B13+B14+B15</f>
        <v>4698.3391000000001</v>
      </c>
      <c r="C16" s="11" t="s">
        <v>130</v>
      </c>
    </row>
    <row r="17" spans="1:4" x14ac:dyDescent="0.2">
      <c r="A17" s="20" t="s">
        <v>177</v>
      </c>
      <c r="B17" s="23">
        <f>COLETOR!B16</f>
        <v>81</v>
      </c>
      <c r="C17" s="11" t="s">
        <v>221</v>
      </c>
    </row>
    <row r="18" spans="1:4" x14ac:dyDescent="0.2">
      <c r="A18" s="20" t="s">
        <v>178</v>
      </c>
      <c r="B18" s="21">
        <f>+B16+(B16*B17/100)</f>
        <v>8503.9937710000013</v>
      </c>
      <c r="C18" s="11" t="s">
        <v>130</v>
      </c>
    </row>
    <row r="20" spans="1:4" x14ac:dyDescent="0.2">
      <c r="A20" s="19" t="s">
        <v>90</v>
      </c>
    </row>
    <row r="21" spans="1:4" x14ac:dyDescent="0.2">
      <c r="A21" s="11" t="s">
        <v>7</v>
      </c>
      <c r="C21" s="16"/>
      <c r="D21" s="16"/>
    </row>
    <row r="22" spans="1:4" x14ac:dyDescent="0.2">
      <c r="A22" s="20" t="s">
        <v>111</v>
      </c>
      <c r="B22" s="21">
        <f>B23+B24+B25+B26</f>
        <v>105.54283333333333</v>
      </c>
      <c r="C22" s="16" t="s">
        <v>130</v>
      </c>
      <c r="D22" s="16"/>
    </row>
    <row r="23" spans="1:4" x14ac:dyDescent="0.2">
      <c r="A23" s="20" t="s">
        <v>156</v>
      </c>
      <c r="B23" s="21">
        <f>Planilha2!U21</f>
        <v>95</v>
      </c>
      <c r="C23" s="16" t="s">
        <v>130</v>
      </c>
      <c r="D23" s="16"/>
    </row>
    <row r="24" spans="1:4" x14ac:dyDescent="0.2">
      <c r="A24" s="20" t="s">
        <v>203</v>
      </c>
      <c r="B24" s="21">
        <f>Planilha2!U25</f>
        <v>10.542833333333332</v>
      </c>
      <c r="C24" s="16" t="s">
        <v>130</v>
      </c>
      <c r="D24" s="16"/>
    </row>
    <row r="25" spans="1:4" x14ac:dyDescent="0.2">
      <c r="A25" s="22" t="s">
        <v>157</v>
      </c>
      <c r="B25" s="21">
        <v>0</v>
      </c>
      <c r="C25" s="16"/>
      <c r="D25" s="16"/>
    </row>
    <row r="26" spans="1:4" x14ac:dyDescent="0.2">
      <c r="A26" s="22" t="s">
        <v>158</v>
      </c>
      <c r="B26" s="21">
        <v>0</v>
      </c>
      <c r="C26" s="16"/>
      <c r="D26" s="16"/>
    </row>
    <row r="27" spans="1:4" x14ac:dyDescent="0.2">
      <c r="A27" s="22" t="s">
        <v>228</v>
      </c>
      <c r="B27" s="24">
        <f>DADOS!D19</f>
        <v>373.56</v>
      </c>
      <c r="C27" s="16" t="s">
        <v>130</v>
      </c>
    </row>
    <row r="28" spans="1:4" x14ac:dyDescent="0.2">
      <c r="A28" s="22" t="s">
        <v>169</v>
      </c>
      <c r="B28" s="24"/>
      <c r="C28" s="16" t="s">
        <v>130</v>
      </c>
    </row>
    <row r="29" spans="1:4" x14ac:dyDescent="0.2">
      <c r="A29" s="22" t="s">
        <v>538</v>
      </c>
      <c r="B29" s="24">
        <f>COLETOR!B29</f>
        <v>78.59</v>
      </c>
      <c r="C29" s="11" t="s">
        <v>130</v>
      </c>
    </row>
    <row r="30" spans="1:4" x14ac:dyDescent="0.2">
      <c r="A30" s="22" t="s">
        <v>354</v>
      </c>
      <c r="B30" s="24">
        <f>B27+B22+B28+B29</f>
        <v>557.6928333333334</v>
      </c>
      <c r="C30" s="16" t="s">
        <v>130</v>
      </c>
    </row>
    <row r="32" spans="1:4" x14ac:dyDescent="0.2">
      <c r="A32" s="25" t="s">
        <v>9</v>
      </c>
      <c r="B32" s="26">
        <f>B30+B18</f>
        <v>9061.6866043333339</v>
      </c>
      <c r="C32" s="31" t="s">
        <v>130</v>
      </c>
    </row>
    <row r="33" spans="1:3" hidden="1" x14ac:dyDescent="0.2">
      <c r="A33" s="28" t="s">
        <v>302</v>
      </c>
      <c r="B33" s="26">
        <f>B32/220</f>
        <v>41.189484565151517</v>
      </c>
      <c r="C33" s="31" t="s">
        <v>296</v>
      </c>
    </row>
    <row r="34" spans="1:3" x14ac:dyDescent="0.2">
      <c r="A34" s="32"/>
      <c r="B34" s="33"/>
    </row>
    <row r="35" spans="1:3" x14ac:dyDescent="0.2">
      <c r="A35" s="17" t="str">
        <f>A9</f>
        <v xml:space="preserve">COMPOSIÇÃO AUXILIAR - ENCARREGADO DE TURMA </v>
      </c>
    </row>
    <row r="37" spans="1:3" x14ac:dyDescent="0.2">
      <c r="A37" s="19" t="s">
        <v>1</v>
      </c>
    </row>
    <row r="39" spans="1:3" x14ac:dyDescent="0.2">
      <c r="A39" s="20" t="s">
        <v>174</v>
      </c>
      <c r="B39" s="21">
        <f>+B13</f>
        <v>3614.107</v>
      </c>
      <c r="C39" s="11" t="s">
        <v>130</v>
      </c>
    </row>
    <row r="40" spans="1:3" x14ac:dyDescent="0.2">
      <c r="A40" s="20" t="s">
        <v>300</v>
      </c>
      <c r="B40" s="21"/>
      <c r="C40" s="11" t="s">
        <v>130</v>
      </c>
    </row>
    <row r="41" spans="1:3" x14ac:dyDescent="0.2">
      <c r="A41" s="20" t="s">
        <v>527</v>
      </c>
      <c r="B41" s="30">
        <f>B39*0.3</f>
        <v>1084.2320999999999</v>
      </c>
      <c r="C41" s="11" t="s">
        <v>130</v>
      </c>
    </row>
    <row r="42" spans="1:3" x14ac:dyDescent="0.2">
      <c r="A42" s="20" t="s">
        <v>301</v>
      </c>
      <c r="B42" s="21">
        <f>+(B39+B40)/220*0.2*110</f>
        <v>361.41070000000008</v>
      </c>
      <c r="C42" s="11" t="s">
        <v>130</v>
      </c>
    </row>
    <row r="43" spans="1:3" x14ac:dyDescent="0.2">
      <c r="A43" s="22" t="s">
        <v>176</v>
      </c>
      <c r="B43" s="21">
        <f>+B42+B39+B40+B41</f>
        <v>5059.7497999999996</v>
      </c>
      <c r="C43" s="11" t="s">
        <v>130</v>
      </c>
    </row>
    <row r="44" spans="1:3" x14ac:dyDescent="0.2">
      <c r="A44" s="20" t="s">
        <v>177</v>
      </c>
      <c r="B44" s="23">
        <f>B17</f>
        <v>81</v>
      </c>
      <c r="C44" s="11" t="s">
        <v>221</v>
      </c>
    </row>
    <row r="45" spans="1:3" x14ac:dyDescent="0.2">
      <c r="A45" s="20" t="s">
        <v>178</v>
      </c>
      <c r="B45" s="21">
        <f>+B43+(B43*B44/100)</f>
        <v>9158.1471380000003</v>
      </c>
      <c r="C45" s="11" t="s">
        <v>130</v>
      </c>
    </row>
    <row r="47" spans="1:3" x14ac:dyDescent="0.2">
      <c r="A47" s="19" t="s">
        <v>90</v>
      </c>
    </row>
    <row r="48" spans="1:3" x14ac:dyDescent="0.2">
      <c r="A48" s="11" t="s">
        <v>7</v>
      </c>
    </row>
    <row r="49" spans="1:3" x14ac:dyDescent="0.2">
      <c r="A49" s="20" t="s">
        <v>111</v>
      </c>
      <c r="B49" s="21">
        <f>B22</f>
        <v>105.54283333333333</v>
      </c>
      <c r="C49" s="11" t="s">
        <v>130</v>
      </c>
    </row>
    <row r="50" spans="1:3" x14ac:dyDescent="0.2">
      <c r="A50" s="20" t="s">
        <v>156</v>
      </c>
      <c r="B50" s="21">
        <f>B23</f>
        <v>95</v>
      </c>
      <c r="C50" s="11" t="s">
        <v>130</v>
      </c>
    </row>
    <row r="51" spans="1:3" x14ac:dyDescent="0.2">
      <c r="A51" s="20" t="s">
        <v>203</v>
      </c>
      <c r="B51" s="21">
        <f>B24</f>
        <v>10.542833333333332</v>
      </c>
      <c r="C51" s="11" t="s">
        <v>130</v>
      </c>
    </row>
    <row r="52" spans="1:3" x14ac:dyDescent="0.2">
      <c r="A52" s="22" t="s">
        <v>157</v>
      </c>
      <c r="B52" s="21" t="e">
        <f>#REF!</f>
        <v>#REF!</v>
      </c>
    </row>
    <row r="53" spans="1:3" x14ac:dyDescent="0.2">
      <c r="A53" s="22" t="s">
        <v>158</v>
      </c>
      <c r="B53" s="21">
        <v>0</v>
      </c>
    </row>
    <row r="54" spans="1:3" x14ac:dyDescent="0.2">
      <c r="A54" s="22" t="s">
        <v>228</v>
      </c>
      <c r="B54" s="24">
        <f>+B27</f>
        <v>373.56</v>
      </c>
      <c r="C54" s="11" t="s">
        <v>130</v>
      </c>
    </row>
    <row r="55" spans="1:3" x14ac:dyDescent="0.2">
      <c r="A55" s="22" t="s">
        <v>169</v>
      </c>
      <c r="B55" s="24"/>
      <c r="C55" s="11" t="s">
        <v>130</v>
      </c>
    </row>
    <row r="56" spans="1:3" x14ac:dyDescent="0.2">
      <c r="A56" s="22" t="s">
        <v>538</v>
      </c>
      <c r="B56" s="24">
        <f>B29</f>
        <v>78.59</v>
      </c>
      <c r="C56" s="11" t="s">
        <v>130</v>
      </c>
    </row>
    <row r="57" spans="1:3" x14ac:dyDescent="0.2">
      <c r="A57" s="22" t="s">
        <v>354</v>
      </c>
      <c r="B57" s="24">
        <f>B54+B49+B55+B56</f>
        <v>557.6928333333334</v>
      </c>
      <c r="C57" s="11" t="s">
        <v>130</v>
      </c>
    </row>
    <row r="58" spans="1:3" x14ac:dyDescent="0.2">
      <c r="A58" s="34"/>
      <c r="B58" s="34"/>
      <c r="C58" s="34"/>
    </row>
    <row r="59" spans="1:3" x14ac:dyDescent="0.2">
      <c r="A59" s="25" t="s">
        <v>9</v>
      </c>
      <c r="B59" s="26">
        <f>B57+B45</f>
        <v>9715.8399713333329</v>
      </c>
      <c r="C59" s="29" t="s">
        <v>130</v>
      </c>
    </row>
    <row r="60" spans="1:3" hidden="1" x14ac:dyDescent="0.2">
      <c r="A60" s="28" t="s">
        <v>302</v>
      </c>
      <c r="B60" s="26">
        <f>B59/220</f>
        <v>44.16290896060606</v>
      </c>
      <c r="C60" s="31" t="s">
        <v>296</v>
      </c>
    </row>
  </sheetData>
  <mergeCells count="3">
    <mergeCell ref="A1:B1"/>
    <mergeCell ref="A2:B2"/>
    <mergeCell ref="A7:B7"/>
  </mergeCells>
  <pageMargins left="1.1811023622047245" right="0.78740157480314965" top="1.3779527559055118" bottom="0.98425196850393704" header="0.51181102362204722" footer="0.51181102362204722"/>
  <pageSetup paperSize="9" scale="74" orientation="portrait" r:id="rId1"/>
  <headerFooter alignWithMargins="0">
    <oddHeader>&amp;L&amp;G</oddHeader>
    <oddFooter>&amp;C&amp;"Calibri,Regular"CNPJ: 41.244.542/0001-97
Cabo Corporate Center – Torre Aníbal Cardoso 
Rua Cento e Sessenta e Três, 226 – sala 405  -  Cabo de Santo Agostinho– PE  - CEP:  54518-430  
Tel.: (81) 3076-0018  / e-mail: nrjambiental@gmail.com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44</vt:i4>
      </vt:variant>
      <vt:variant>
        <vt:lpstr>Intervalos Nomeados</vt:lpstr>
      </vt:variant>
      <vt:variant>
        <vt:i4>64</vt:i4>
      </vt:variant>
    </vt:vector>
  </HeadingPairs>
  <TitlesOfParts>
    <vt:vector size="108" baseType="lpstr">
      <vt:lpstr>RESUMO</vt:lpstr>
      <vt:lpstr>CRONOGRAMA</vt:lpstr>
      <vt:lpstr>DADOS</vt:lpstr>
      <vt:lpstr>Planilha3</vt:lpstr>
      <vt:lpstr>LUBRIF</vt:lpstr>
      <vt:lpstr>COLETOR</vt:lpstr>
      <vt:lpstr>VARREDOR</vt:lpstr>
      <vt:lpstr>MOTORISTA</vt:lpstr>
      <vt:lpstr>ENC I</vt:lpstr>
      <vt:lpstr>AGENTE</vt:lpstr>
      <vt:lpstr>GER I</vt:lpstr>
      <vt:lpstr>VIGIA</vt:lpstr>
      <vt:lpstr>Estagiário</vt:lpstr>
      <vt:lpstr>VAN</vt:lpstr>
      <vt:lpstr>REBOQUE</vt:lpstr>
      <vt:lpstr>BAÚ</vt:lpstr>
      <vt:lpstr>BASCULANTE 6</vt:lpstr>
      <vt:lpstr>basc 12m3</vt:lpstr>
      <vt:lpstr>comp 8</vt:lpstr>
      <vt:lpstr>RESERVA8</vt:lpstr>
      <vt:lpstr>COMPACTADOR 15 m3</vt:lpstr>
      <vt:lpstr>Cavalo</vt:lpstr>
      <vt:lpstr>Carreta</vt:lpstr>
      <vt:lpstr>COMP NOTURNO</vt:lpstr>
      <vt:lpstr>reserva15</vt:lpstr>
      <vt:lpstr>CAMP TRANSP</vt:lpstr>
      <vt:lpstr>comp transp 8</vt:lpstr>
      <vt:lpstr>retro</vt:lpstr>
      <vt:lpstr>VARRIÇÃO</vt:lpstr>
      <vt:lpstr>DOMICILIAR</vt:lpstr>
      <vt:lpstr>volumosos</vt:lpstr>
      <vt:lpstr>vol1</vt:lpstr>
      <vt:lpstr>Podação</vt:lpstr>
      <vt:lpstr>ENSACADA</vt:lpstr>
      <vt:lpstr>SELETIVA</vt:lpstr>
      <vt:lpstr>CAPINAÇÃO</vt:lpstr>
      <vt:lpstr>pintura</vt:lpstr>
      <vt:lpstr>diversos</vt:lpstr>
      <vt:lpstr>TRANSB</vt:lpstr>
      <vt:lpstr>TRANSP</vt:lpstr>
      <vt:lpstr>Adm1</vt:lpstr>
      <vt:lpstr>Planilha2</vt:lpstr>
      <vt:lpstr>Encargos</vt:lpstr>
      <vt:lpstr>BDI</vt:lpstr>
      <vt:lpstr>'Adm1'!Area_de_impressao</vt:lpstr>
      <vt:lpstr>AGENTE!Area_de_impressao</vt:lpstr>
      <vt:lpstr>'basc 12m3'!Area_de_impressao</vt:lpstr>
      <vt:lpstr>'BASCULANTE 6'!Area_de_impressao</vt:lpstr>
      <vt:lpstr>BAÚ!Area_de_impressao</vt:lpstr>
      <vt:lpstr>BDI!Area_de_impressao</vt:lpstr>
      <vt:lpstr>'CAMP TRANSP'!Area_de_impressao</vt:lpstr>
      <vt:lpstr>CAPINAÇÃO!Area_de_impressao</vt:lpstr>
      <vt:lpstr>Carreta!Area_de_impressao</vt:lpstr>
      <vt:lpstr>Cavalo!Area_de_impressao</vt:lpstr>
      <vt:lpstr>COLETOR!Area_de_impressao</vt:lpstr>
      <vt:lpstr>'comp 8'!Area_de_impressao</vt:lpstr>
      <vt:lpstr>'COMP NOTURNO'!Area_de_impressao</vt:lpstr>
      <vt:lpstr>'comp transp 8'!Area_de_impressao</vt:lpstr>
      <vt:lpstr>'COMPACTADOR 15 m3'!Area_de_impressao</vt:lpstr>
      <vt:lpstr>DADOS!Area_de_impressao</vt:lpstr>
      <vt:lpstr>diversos!Area_de_impressao</vt:lpstr>
      <vt:lpstr>DOMICILIAR!Area_de_impressao</vt:lpstr>
      <vt:lpstr>'ENC I'!Area_de_impressao</vt:lpstr>
      <vt:lpstr>Encargos!Area_de_impressao</vt:lpstr>
      <vt:lpstr>ENSACADA!Area_de_impressao</vt:lpstr>
      <vt:lpstr>'GER I'!Area_de_impressao</vt:lpstr>
      <vt:lpstr>LUBRIF!Area_de_impressao</vt:lpstr>
      <vt:lpstr>MOTORISTA!Area_de_impressao</vt:lpstr>
      <vt:lpstr>pintura!Area_de_impressao</vt:lpstr>
      <vt:lpstr>Planilha2!Area_de_impressao</vt:lpstr>
      <vt:lpstr>Planilha3!Area_de_impressao</vt:lpstr>
      <vt:lpstr>Podação!Area_de_impressao</vt:lpstr>
      <vt:lpstr>REBOQUE!Area_de_impressao</vt:lpstr>
      <vt:lpstr>reserva15!Area_de_impressao</vt:lpstr>
      <vt:lpstr>RESERVA8!Area_de_impressao</vt:lpstr>
      <vt:lpstr>RESUMO!Area_de_impressao</vt:lpstr>
      <vt:lpstr>retro!Area_de_impressao</vt:lpstr>
      <vt:lpstr>SELETIVA!Area_de_impressao</vt:lpstr>
      <vt:lpstr>TRANSB!Area_de_impressao</vt:lpstr>
      <vt:lpstr>TRANSP!Area_de_impressao</vt:lpstr>
      <vt:lpstr>VAN!Area_de_impressao</vt:lpstr>
      <vt:lpstr>VARREDOR!Area_de_impressao</vt:lpstr>
      <vt:lpstr>VARRIÇÃO!Area_de_impressao</vt:lpstr>
      <vt:lpstr>VIGIA!Area_de_impressao</vt:lpstr>
      <vt:lpstr>'vol1'!Area_de_impressao</vt:lpstr>
      <vt:lpstr>volumosos!Area_de_impressao</vt:lpstr>
      <vt:lpstr>'Adm1'!Titulos_de_impressao</vt:lpstr>
      <vt:lpstr>'BASCULANTE 6'!Titulos_de_impressao</vt:lpstr>
      <vt:lpstr>BAÚ!Titulos_de_impressao</vt:lpstr>
      <vt:lpstr>CAPINAÇÃO!Titulos_de_impressao</vt:lpstr>
      <vt:lpstr>'comp 8'!Titulos_de_impressao</vt:lpstr>
      <vt:lpstr>'COMPACTADOR 15 m3'!Titulos_de_impressao</vt:lpstr>
      <vt:lpstr>diversos!Titulos_de_impressao</vt:lpstr>
      <vt:lpstr>DOMICILIAR!Titulos_de_impressao</vt:lpstr>
      <vt:lpstr>ENSACADA!Titulos_de_impressao</vt:lpstr>
      <vt:lpstr>LUBRIF!Titulos_de_impressao</vt:lpstr>
      <vt:lpstr>MOTORISTA!Titulos_de_impressao</vt:lpstr>
      <vt:lpstr>pintura!Titulos_de_impressao</vt:lpstr>
      <vt:lpstr>Planilha2!Titulos_de_impressao</vt:lpstr>
      <vt:lpstr>Planilha3!Titulos_de_impressao</vt:lpstr>
      <vt:lpstr>Podação!Titulos_de_impressao</vt:lpstr>
      <vt:lpstr>RESUMO!Titulos_de_impressao</vt:lpstr>
      <vt:lpstr>SELETIVA!Titulos_de_impressao</vt:lpstr>
      <vt:lpstr>TRANSP!Titulos_de_impressao</vt:lpstr>
      <vt:lpstr>VARREDOR!Titulos_de_impressao</vt:lpstr>
      <vt:lpstr>VARRIÇÃO!Titulos_de_impressao</vt:lpstr>
      <vt:lpstr>'vol1'!Titulos_de_impressao</vt:lpstr>
      <vt:lpstr>volumosos!Titulos_de_impressao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Clayton</dc:creator>
  <cp:lastModifiedBy>AFSFAS FASFASFAS</cp:lastModifiedBy>
  <cp:lastPrinted>2025-04-30T13:17:53Z</cp:lastPrinted>
  <dcterms:created xsi:type="dcterms:W3CDTF">1999-10-15T12:11:47Z</dcterms:created>
  <dcterms:modified xsi:type="dcterms:W3CDTF">2025-05-21T15:06:37Z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2025-05-20T20:53:27Z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320ab2c9-7b50-49b9-a1e1-4d30d4a4f4e7</vt:lpwstr>
  </property>
  <property fmtid="{D5CDD505-2E9C-101B-9397-08002B2CF9AE}" pid="7" name="MSIP_Label_defa4170-0d19-0005-0004-bc88714345d2_ActionId">
    <vt:lpwstr>d5659cde-f6e5-43bd-b49d-49b46f9b06df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